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W4OS2e7daSjjYoXxYixtpet1YUXd44NXUv4+iQI1RbYEATbxaigBB2j+IsUGkuY0LIJqdlfs4H+sCEDSm50yQg==" workbookSaltValue="nSDh5pIvu76ILF+T4U5F7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G12"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B13" i="7"/>
  <c r="AB19" i="19"/>
  <c r="E18" i="12"/>
  <c r="D18" i="12"/>
  <c r="ER19" i="8"/>
  <c r="EQ19" i="8"/>
  <c r="BA13" i="16"/>
  <c r="AC17" i="11"/>
  <c r="G18" i="12"/>
  <c r="W19" i="13"/>
  <c r="Z19" i="8"/>
  <c r="AL13" i="16"/>
  <c r="S13" i="16"/>
  <c r="P13" i="16"/>
  <c r="AN13" i="20"/>
  <c r="Z13" i="17"/>
  <c r="M18" i="2"/>
  <c r="H13" i="12"/>
  <c r="T19" i="8"/>
  <c r="T13" i="12"/>
  <c r="BF9" i="8"/>
  <c r="I19" i="8"/>
  <c r="E13" i="17"/>
  <c r="T13" i="20"/>
  <c r="T13" i="16"/>
  <c r="AP13" i="16"/>
  <c r="T18" i="17"/>
  <c r="BG15" i="13"/>
  <c r="J20" i="20"/>
  <c r="AF20" i="20"/>
  <c r="M20" i="20"/>
  <c r="S20" i="20"/>
  <c r="K20" i="20"/>
  <c r="Z20" i="20"/>
  <c r="AM20" i="20"/>
  <c r="AK20" i="20"/>
  <c r="W20" i="21"/>
  <c r="F20" i="20"/>
  <c r="AG20" i="20"/>
  <c r="AN17" i="11" l="1"/>
  <c r="AJ19" i="8"/>
  <c r="C19" i="3"/>
  <c r="AA19" i="8"/>
  <c r="BG9" i="8"/>
  <c r="K9" i="7" s="1"/>
  <c r="BA13" i="8"/>
  <c r="D17" i="6"/>
  <c r="BF12" i="8"/>
  <c r="AY13" i="8"/>
  <c r="BD15" i="8"/>
  <c r="H15" i="7" s="1"/>
  <c r="G18" i="2"/>
  <c r="BE9" i="8"/>
  <c r="I9" i="7" s="1"/>
  <c r="AC12" i="11"/>
  <c r="BD11" i="13"/>
  <c r="BB13" i="13"/>
  <c r="F11" i="16"/>
  <c r="R8" i="9"/>
  <c r="X16" i="17"/>
  <c r="X17" i="17"/>
  <c r="V15" i="16"/>
  <c r="AZ9" i="11"/>
  <c r="AZ19" i="11" s="1"/>
  <c r="AZ17" i="11"/>
  <c r="L12" i="2"/>
  <c r="X10" i="21"/>
  <c r="S16" i="17"/>
  <c r="S17" i="14"/>
  <c r="V17" i="14" s="1"/>
  <c r="R12" i="14"/>
  <c r="AM9" i="11"/>
  <c r="T9" i="11"/>
  <c r="T15" i="11"/>
  <c r="AA16" i="16"/>
  <c r="X12" i="17"/>
  <c r="AA11" i="16"/>
  <c r="T17" i="20"/>
  <c r="U10" i="21"/>
  <c r="AA12" i="21"/>
  <c r="V17" i="16"/>
  <c r="AZ12" i="11"/>
  <c r="L11" i="2"/>
  <c r="V15" i="20"/>
  <c r="V18" i="20" s="1"/>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K12"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H9" i="7"/>
  <c r="E11" i="6"/>
  <c r="I13" i="2"/>
  <c r="J13" i="2" s="1"/>
  <c r="H12" i="2"/>
  <c r="D11" i="2"/>
  <c r="B11" i="6"/>
  <c r="AL11" i="11"/>
  <c r="AM16"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J15" i="12" l="1"/>
  <c r="K9" i="12"/>
  <c r="X12" i="21"/>
  <c r="X19" i="21" s="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H18" i="11" s="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F18" i="11" s="1"/>
  <c r="BH16" i="11"/>
  <c r="AQ12" i="21"/>
  <c r="BJ16" i="11"/>
  <c r="BL16" i="11"/>
  <c r="BH9" i="16"/>
  <c r="BJ17" i="11"/>
  <c r="BJ18" i="11" s="1"/>
  <c r="BH15" i="16"/>
  <c r="BL17" i="11"/>
  <c r="BF10" i="11"/>
  <c r="Q10" i="11" s="1"/>
  <c r="BK11" i="11"/>
  <c r="BI10" i="11"/>
  <c r="S9" i="14"/>
  <c r="V9" i="14" s="1"/>
  <c r="BJ15" i="11"/>
  <c r="AP15" i="20"/>
  <c r="R17" i="20"/>
  <c r="R18" i="20" s="1"/>
  <c r="T17" i="16"/>
  <c r="BU15" i="17"/>
  <c r="BW17" i="20"/>
  <c r="BW16" i="20"/>
  <c r="BW15" i="20"/>
  <c r="BV10" i="16"/>
  <c r="BU16" i="17"/>
  <c r="S12" i="14"/>
  <c r="V12"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BW9" i="20"/>
  <c r="BV16" i="16"/>
  <c r="BV15" i="16"/>
  <c r="BU9" i="17"/>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AS18" i="16"/>
  <c r="AZ13" i="16"/>
  <c r="AN19" i="16"/>
  <c r="AW19" i="11"/>
  <c r="Q16" i="11"/>
  <c r="AC16" i="11"/>
  <c r="K13" i="11"/>
  <c r="P12"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AQ16" i="17"/>
  <c r="AG18" i="11"/>
  <c r="AK18" i="11"/>
  <c r="E13" i="14"/>
  <c r="E19" i="2"/>
  <c r="D19" i="12"/>
  <c r="I17" i="12"/>
  <c r="AY19" i="8"/>
  <c r="P9" i="11"/>
  <c r="AS19" i="21"/>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G19" i="20" l="1"/>
  <c r="BE19" i="13"/>
  <c r="U13" i="17"/>
  <c r="Q19" i="20"/>
  <c r="BV18" i="16"/>
  <c r="BW21" i="20"/>
  <c r="Q15" i="11"/>
  <c r="BK18" i="11"/>
  <c r="P16" i="11"/>
  <c r="S13" i="14"/>
  <c r="BH13" i="11"/>
  <c r="X13" i="16"/>
  <c r="Q12" i="11"/>
  <c r="BK13" i="11"/>
  <c r="BK19" i="11" s="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N20" i="17"/>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<sst xmlns="http://schemas.openxmlformats.org/spreadsheetml/2006/main" count="2094" uniqueCount="914">
  <si>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</si>
  <si>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</si>
  <si>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</si>
  <si>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</si>
  <si>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</si>
  <si>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</si>
  <si>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</si>
  <si>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</si>
  <si>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</si>
  <si>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</si>
  <si>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</si>
  <si>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</si>
  <si>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</si>
  <si>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</si>
  <si>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</si>
  <si>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</si>
  <si>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</si>
  <si>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</si>
  <si>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</si>
  <si>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</si>
  <si>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</si>
  <si>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</si>
  <si>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</si>
  <si>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</si>
  <si>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</si>
  <si>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</si>
  <si>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</si>
  <si>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</si>
  <si>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</si>
  <si>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</si>
  <si>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</si>
  <si>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</si>
  <si>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</si>
  <si>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</si>
  <si>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</si>
  <si>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</si>
  <si>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</si>
  <si>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</si>
  <si>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</si>
  <si>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</si>
  <si>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</si>
  <si>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</si>
  <si>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</si>
  <si>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</si>
  <si>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</si>
  <si>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</si>
  <si>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</si>
  <si>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</si>
  <si>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</si>
  <si>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</si>
  <si>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</si>
  <si>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</si>
  <si>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</si>
  <si>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</si>
  <si>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</si>
  <si>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</si>
  <si>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</si>
  <si>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</si>
  <si>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</si>
  <si>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</si>
  <si>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</si>
  <si>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</si>
  <si>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</si>
  <si>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</si>
  <si>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</si>
  <si>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</si>
  <si>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</si>
  <si>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</si>
  <si>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</si>
  <si>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</si>
  <si>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</si>
  <si>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</si>
  <si>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</si>
  <si>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</si>
  <si>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</si>
  <si>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</si>
  <si>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</si>
  <si>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</si>
  <si>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</si>
  <si>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</si>
  <si>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</si>
  <si>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</si>
  <si>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</si>
  <si>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</si>
  <si>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</si>
  <si>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</si>
  <si>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</si>
  <si>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</si>
  <si>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</si>
  <si>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</si>
  <si>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</si>
  <si>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</si>
  <si>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</si>
  <si>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</si>
  <si>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</si>
  <si>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</si>
  <si>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</si>
  <si>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</si>
  <si>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</si>
  <si>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</si>
  <si>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</si>
  <si>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</si>
  <si>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</si>
  <si>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</si>
  <si>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</si>
  <si>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</si>
  <si>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</si>
  <si>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</si>
  <si>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</si>
  <si>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</si>
  <si>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</si>
  <si>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</si>
  <si>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</si>
  <si>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</si>
  <si>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</si>
  <si>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</si>
  <si>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</si>
  <si>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</si>
  <si>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</si>
  <si>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</si>
  <si>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</si>
  <si>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</si>
  <si>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</si>
  <si>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</si>
  <si>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</si>
  <si>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</si>
  <si>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</si>
  <si>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</si>
  <si>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</si>
  <si>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</si>
  <si>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</si>
  <si>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</si>
  <si>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</si>
  <si>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</si>
  <si>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</si>
  <si>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</si>
  <si>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</si>
  <si>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</si>
  <si>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</si>
  <si>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</si>
  <si>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</si>
  <si>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</si>
  <si>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</si>
  <si>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</si>
  <si>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</si>
  <si>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</si>
  <si>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</si>
  <si>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</si>
  <si>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</si>
  <si>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</si>
  <si>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</si>
  <si>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</si>
  <si>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</si>
  <si>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</si>
  <si>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</si>
  <si>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</si>
  <si>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</si>
  <si>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</si>
  <si>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</si>
  <si>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</si>
  <si>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</si>
  <si>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</si>
  <si>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</si>
  <si>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</si>
  <si>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</si>
  <si>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</si>
  <si>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</si>
  <si>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</si>
  <si>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</si>
  <si>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</si>
  <si>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</si>
  <si>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</si>
  <si>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</si>
  <si>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</si>
  <si>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</si>
  <si>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</si>
  <si>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</si>
  <si>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</si>
  <si>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</si>
  <si>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</si>
  <si>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</si>
  <si>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</si>
  <si>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</si>
  <si>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</si>
  <si>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</si>
  <si>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</si>
  <si>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</si>
  <si>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</si>
  <si>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</si>
  <si>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</si>
  <si>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</si>
  <si>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</si>
  <si>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</si>
  <si>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</si>
  <si>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</si>
  <si>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</si>
  <si>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</si>
  <si>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</si>
  <si>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</si>
  <si>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</si>
  <si>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</si>
  <si>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</si>
  <si>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</si>
  <si>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</si>
  <si>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</si>
  <si>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</si>
  <si>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</si>
  <si>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</si>
  <si>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</si>
  <si>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</si>
  <si>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</si>
  <si>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</si>
  <si>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</si>
  <si>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</si>
  <si>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</si>
  <si>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</si>
  <si>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</si>
  <si>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</si>
  <si>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</si>
  <si>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</si>
  <si>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</si>
  <si>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</si>
  <si>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</si>
  <si>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</si>
  <si>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</si>
  <si>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</si>
  <si>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</si>
  <si>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</si>
  <si>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</si>
  <si>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</si>
  <si>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</si>
  <si>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</si>
  <si>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</si>
  <si>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</si>
  <si>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</si>
  <si>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</si>
  <si>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</si>
  <si>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</si>
  <si>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</si>
  <si>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</si>
  <si>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</si>
  <si>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</si>
  <si>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</si>
  <si>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</si>
  <si>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</si>
  <si>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</si>
  <si>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</si>
  <si>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</si>
  <si>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</si>
  <si>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</si>
  <si>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</si>
  <si>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</si>
  <si>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</si>
  <si>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</si>
  <si>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</si>
  <si>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</si>
  <si>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</si>
  <si>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</si>
  <si>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</si>
  <si>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</si>
  <si>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</si>
  <si>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</si>
  <si>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</si>
  <si>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</si>
  <si>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</si>
  <si>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</si>
  <si>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</si>
  <si>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</si>
  <si>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</si>
  <si>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</si>
  <si>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</si>
  <si>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</si>
  <si>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</si>
  <si>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</si>
  <si>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</si>
  <si>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</si>
  <si>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</si>
  <si>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</si>
  <si>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</si>
  <si>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</si>
  <si>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</si>
  <si>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</si>
  <si>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</si>
  <si>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</si>
  <si>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</si>
  <si>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</si>
  <si>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</si>
  <si>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</si>
  <si>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</si>
  <si>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</si>
  <si>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</si>
  <si>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</si>
  <si>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</si>
  <si>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</si>
  <si>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</si>
  <si>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</si>
  <si>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</si>
  <si>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</si>
  <si>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</si>
  <si>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</si>
  <si>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</si>
  <si>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</si>
  <si>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</si>
  <si>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</si>
  <si>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</si>
  <si>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</si>
  <si>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</si>
  <si>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</si>
  <si>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</si>
  <si>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</si>
  <si>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</si>
  <si>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</si>
  <si>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</si>
  <si>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</si>
  <si>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</si>
  <si>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</si>
  <si>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</si>
  <si>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</si>
  <si>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</si>
  <si>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</si>
  <si>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</si>
  <si>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</si>
  <si>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</si>
  <si>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</si>
  <si>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</si>
  <si>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</si>
  <si>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</si>
  <si>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</si>
  <si>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</si>
  <si>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</si>
  <si>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</si>
  <si>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</si>
  <si>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</si>
  <si>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</si>
  <si>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</si>
  <si>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</si>
  <si>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</si>
  <si>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</si>
  <si>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</si>
  <si>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</si>
  <si>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</si>
  <si>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</si>
  <si>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</si>
  <si>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</si>
  <si>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</si>
  <si>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</si>
  <si>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</si>
  <si>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</si>
  <si>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</si>
  <si>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</si>
  <si>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</si>
  <si>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</si>
  <si>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</si>
  <si>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</si>
  <si>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</si>
  <si>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</si>
  <si>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</si>
  <si>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</si>
  <si>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</si>
  <si>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</si>
  <si>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</si>
  <si>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</si>
  <si>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</si>
  <si>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</si>
  <si>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</si>
  <si>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</si>
  <si>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</si>
  <si>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</si>
  <si>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</si>
  <si>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</si>
  <si>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</si>
  <si>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</si>
  <si>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</si>
  <si>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</si>
  <si>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</si>
  <si>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</si>
  <si>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</si>
  <si>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</si>
  <si>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</si>
  <si>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</si>
  <si>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</si>
  <si>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</si>
  <si>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</si>
  <si>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</si>
  <si>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</si>
  <si>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</si>
  <si>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</si>
  <si>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</si>
  <si>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</si>
  <si>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</si>
  <si>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</si>
  <si>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</si>
  <si>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</si>
  <si>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</si>
  <si>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</si>
  <si>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</si>
  <si>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</si>
  <si>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</si>
  <si>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</si>
  <si>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</si>
  <si>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</si>
  <si>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</si>
  <si>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</si>
  <si>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</si>
  <si>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</si>
  <si>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</si>
  <si>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</si>
  <si>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</si>
  <si>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</si>
  <si>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</si>
  <si>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</si>
  <si>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</si>
  <si>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</si>
  <si>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</si>
  <si>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</si>
  <si>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</si>
  <si>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</si>
  <si>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</si>
  <si>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</si>
  <si>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</si>
  <si>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</si>
  <si>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</si>
  <si>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</si>
  <si>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</si>
  <si>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</si>
  <si>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</si>
  <si>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</si>
  <si>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</si>
  <si>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</si>
  <si>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</si>
  <si>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</si>
  <si>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</si>
  <si>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</si>
  <si>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</si>
  <si>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</si>
  <si>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</si>
  <si>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</si>
  <si>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</si>
  <si>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</si>
  <si>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</si>
  <si>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</si>
  <si>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</si>
  <si>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</si>
  <si>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</si>
  <si>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</si>
  <si>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</si>
  <si>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</si>
  <si>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</si>
  <si>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</si>
  <si>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</si>
  <si>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</si>
  <si>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</si>
  <si>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</si>
  <si>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</si>
  <si>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</si>
  <si>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</si>
  <si>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</si>
  <si>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</si>
  <si>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</si>
  <si>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</si>
  <si>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</si>
  <si>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</si>
  <si>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</si>
  <si>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</si>
  <si>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</si>
  <si>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</si>
  <si>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</si>
  <si>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</si>
  <si>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</si>
  <si>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</si>
  <si>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</si>
  <si>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</si>
  <si>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</si>
  <si>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</si>
  <si>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</si>
  <si>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</si>
  <si>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</si>
  <si>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</si>
  <si>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</si>
  <si>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</si>
  <si>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</si>
  <si>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</si>
  <si>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</si>
  <si>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</si>
  <si>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</si>
  <si>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</si>
  <si>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</si>
  <si>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</si>
  <si>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</si>
  <si>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</si>
  <si>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</si>
  <si>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</si>
  <si>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</si>
  <si>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</si>
  <si>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</si>
  <si>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</si>
  <si>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</si>
  <si>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</si>
  <si>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</si>
  <si>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</si>
  <si>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</si>
  <si>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</si>
  <si>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</si>
  <si>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</si>
  <si>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</si>
  <si>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</si>
  <si>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</si>
  <si>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</si>
  <si>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</si>
  <si>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</si>
  <si>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</si>
  <si>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</si>
  <si>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</si>
  <si>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</si>
  <si>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</si>
  <si>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</si>
  <si>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</si>
  <si>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</si>
  <si>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</si>
  <si>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</si>
  <si>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</si>
  <si>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</si>
  <si>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</si>
  <si>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</si>
  <si>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</si>
  <si>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</si>
  <si>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</si>
  <si>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</si>
  <si>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</si>
  <si>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</si>
  <si>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</si>
  <si>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</si>
  <si>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</si>
  <si>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</si>
  <si>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</si>
  <si>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</si>
  <si>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</si>
  <si>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</si>
  <si>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</si>
  <si>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</si>
  <si>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</si>
  <si>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</si>
  <si>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</si>
  <si>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</si>
  <si>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</si>
  <si>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</si>
  <si>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</si>
  <si>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</si>
  <si>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</si>
  <si>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</si>
  <si>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</si>
  <si>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</si>
  <si>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</si>
  <si>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</si>
  <si>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</si>
  <si>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</si>
  <si>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</si>
  <si>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</si>
  <si>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</si>
  <si>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</si>
  <si>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</si>
  <si>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</si>
  <si>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</si>
  <si>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</si>
  <si>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</si>
  <si>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</si>
  <si>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</si>
  <si>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</si>
  <si>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</si>
  <si>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</si>
  <si>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</si>
  <si>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</si>
  <si>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</si>
  <si>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</si>
  <si>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</si>
  <si>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</si>
  <si>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</si>
  <si>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</si>
  <si>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</si>
  <si>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</si>
  <si>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</si>
  <si>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</si>
  <si>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</si>
  <si>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</si>
  <si>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</si>
  <si>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</si>
  <si>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</si>
  <si>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</si>
  <si>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</si>
  <si>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</si>
  <si>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</si>
  <si>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</si>
  <si>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</si>
  <si>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</si>
  <si>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</si>
  <si>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</si>
  <si>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</si>
  <si>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</si>
  <si>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</si>
  <si>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</si>
  <si>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</si>
  <si>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</si>
  <si>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</si>
  <si>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</si>
  <si>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</si>
  <si>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</si>
  <si>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</si>
  <si>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</si>
  <si>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</si>
  <si>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</si>
  <si>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</si>
  <si>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</si>
  <si>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</si>
  <si>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</si>
  <si>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</si>
  <si>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</si>
  <si>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</si>
  <si>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</si>
  <si>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</si>
  <si>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</si>
  <si>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</si>
  <si>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</si>
  <si>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</si>
  <si>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</si>
  <si>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</si>
  <si>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</si>
  <si>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</si>
  <si>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</si>
  <si>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</si>
  <si>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</si>
  <si>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</si>
  <si>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</si>
  <si>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</si>
  <si>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</si>
  <si>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</si>
  <si>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</si>
  <si>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</si>
  <si>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</si>
  <si>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</si>
  <si>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</si>
  <si>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</si>
  <si>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</si>
  <si>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</si>
  <si>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</si>
  <si>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</si>
  <si>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</si>
  <si>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</si>
  <si>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</si>
  <si>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</si>
  <si>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</si>
  <si>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</si>
  <si>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</si>
  <si>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</si>
  <si>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</si>
  <si>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</si>
  <si>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</si>
  <si>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</si>
  <si>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</si>
  <si>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</si>
  <si>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</si>
  <si>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</si>
  <si>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</si>
  <si>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</si>
  <si>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</si>
  <si>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</si>
  <si>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</si>
  <si>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</si>
  <si>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</si>
  <si>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</si>
  <si>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</si>
  <si>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</si>
  <si>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</si>
  <si>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</si>
  <si>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</si>
  <si>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</si>
  <si>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</si>
  <si>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</si>
  <si>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</si>
  <si>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</si>
  <si>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</si>
  <si>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</si>
  <si>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</si>
  <si>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</si>
  <si>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</si>
  <si>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</si>
  <si>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</si>
  <si>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</si>
  <si>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</si>
  <si>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</si>
  <si>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</si>
  <si>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</si>
  <si>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</si>
  <si>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</si>
  <si>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</si>
  <si>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</si>
  <si>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</si>
  <si>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</si>
  <si>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</si>
  <si>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</si>
  <si>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</si>
  <si>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</si>
  <si>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</si>
  <si>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</si>
  <si>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</si>
  <si>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</si>
  <si>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</si>
  <si>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</si>
  <si>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</si>
  <si>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</si>
  <si>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</si>
  <si>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</si>
  <si>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</si>
  <si>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</si>
  <si>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</si>
  <si>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</si>
  <si>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</si>
  <si>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</si>
  <si>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</si>
  <si>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</si>
  <si>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</si>
  <si>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</si>
  <si>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</si>
  <si>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</si>
  <si>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</si>
  <si>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</si>
  <si>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</si>
  <si>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</si>
  <si>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</si>
  <si>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</si>
  <si>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</si>
  <si>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</si>
  <si>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</si>
  <si>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</si>
  <si>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</si>
  <si>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</si>
  <si>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</si>
  <si>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</si>
  <si>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</si>
  <si>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</si>
  <si>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</si>
  <si>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</si>
  <si>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</si>
  <si>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</si>
  <si>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</si>
  <si>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</si>
  <si>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</si>
  <si>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</si>
  <si>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</si>
  <si>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</si>
  <si>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</si>
  <si>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</si>
  <si>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</si>
  <si>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</si>
  <si>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</si>
  <si>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</si>
  <si>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</si>
  <si>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</si>
  <si>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</si>
  <si>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</si>
  <si>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</si>
  <si>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</si>
  <si>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</si>
  <si>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</si>
  <si>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</si>
  <si>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</si>
  <si>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</si>
  <si>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</si>
  <si>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</si>
  <si>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</si>
  <si>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</si>
  <si>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</si>
  <si>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</si>
  <si>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</si>
  <si>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</si>
  <si>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</si>
  <si>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</si>
  <si>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</si>
  <si>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</si>
  <si>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</si>
  <si>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</si>
  <si>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</si>
  <si>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</si>
  <si>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</si>
  <si>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</si>
  <si>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</si>
  <si>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</si>
  <si>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</si>
  <si>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</si>
  <si>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</si>
  <si>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</si>
  <si>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</si>
  <si>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</si>
  <si>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</si>
  <si>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</si>
  <si>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</si>
  <si>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</si>
  <si>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</si>
  <si>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</si>
  <si>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</si>
  <si>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</si>
  <si>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</si>
  <si>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</si>
  <si>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</si>
  <si>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</si>
  <si>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</si>
  <si>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</si>
  <si>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</si>
  <si>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</si>
  <si>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</si>
  <si>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</si>
  <si>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</si>
  <si>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</si>
  <si>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</si>
  <si>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</si>
  <si>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</si>
  <si>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</si>
  <si>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</si>
  <si>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</si>
  <si>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</si>
  <si>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</si>
  <si>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</si>
  <si>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</si>
  <si>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</si>
  <si>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</si>
  <si>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</si>
  <si>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</si>
  <si>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</si>
  <si>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</si>
  <si>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</si>
  <si>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</si>
  <si>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</si>
  <si>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</si>
  <si>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</si>
  <si>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</si>
  <si>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</si>
  <si>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</si>
  <si>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</si>
  <si>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</si>
  <si>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</si>
  <si>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</si>
  <si>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</si>
  <si>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</si>
  <si>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</si>
  <si>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</si>
  <si>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</si>
  <si>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</si>
  <si>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</si>
  <si>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</si>
  <si>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</si>
  <si>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</si>
  <si>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</si>
  <si>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</si>
  <si>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</si>
  <si>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</si>
  <si>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</si>
  <si>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</si>
  <si>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</si>
  <si>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</si>
  <si>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</si>
  <si>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</si>
  <si>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</si>
  <si>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</si>
  <si>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</si>
  <si>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</si>
  <si>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</si>
  <si>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</si>
  <si>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</si>
  <si>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</si>
  <si>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</si>
  <si>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</si>
  <si>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</si>
  <si>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</si>
  <si>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</si>
  <si>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</si>
  <si>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</si>
  <si>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</si>
  <si>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</si>
  <si>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</si>
  <si>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</si>
  <si>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</si>
  <si>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</si>
  <si>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</si>
  <si>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</si>
  <si>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</si>
  <si>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</si>
  <si>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</si>
  <si>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</si>
  <si>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</si>
  <si>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</si>
  <si>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</si>
  <si>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</si>
  <si>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</si>
  <si>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</si>
  <si>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</si>
  <si>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</si>
  <si>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</si>
  <si>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</si>
  <si>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</si>
  <si>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</si>
  <si>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</si>
  <si>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</si>
  <si>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</si>
  <si>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</si>
  <si>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</si>
  <si>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</si>
  <si>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</si>
  <si>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</si>
  <si>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</si>
  <si>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</si>
  <si>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</si>
  <si>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</si>
  <si>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MALAGA</t>
  </si>
  <si>
    <t>Resumenes por Partidos Judiciales</t>
  </si>
  <si>
    <t>FUENGIROLA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</si>
</sst>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RGop3qwmwkgtMFkf29cv4GFVydToYMTdBAlRO4MdO1wSJOAVRualGfmWZycXD8ZQBaJmId7Wya1ZyejsSaHMOg==" saltValue="6FO90Y2vniJTY32r63jO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11.396812080536913</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128</v>
      </c>
      <c r="D10" s="228">
        <f>IF(ISNUMBER(Datos!I10),Datos!I10," - ")</f>
        <v>117</v>
      </c>
      <c r="E10" s="229">
        <f>IF(ISNUMBER(Datos!J10),Datos!J10," - ")</f>
        <v>128</v>
      </c>
      <c r="F10" s="229">
        <f>IF(ISNUMBER(Datos!K10),Datos!K10," - ")</f>
        <v>155</v>
      </c>
      <c r="G10" s="1037" t="str">
        <f>IF(Datos!E10&lt;&gt;"",Datos!E10,Datos!D10)</f>
        <v>37</v>
      </c>
      <c r="H10" s="230">
        <f>IF(ISNUMBER(Datos!L10),Datos!L10," - ")</f>
        <v>101</v>
      </c>
      <c r="I10" s="1047" t="str">
        <f>IF(ISNUMBER(Datos!AS10/Datos!BM10),Datos!AS10/Datos!BM10," - ")</f>
        <v xml:space="preserve"> - </v>
      </c>
      <c r="J10" s="1048">
        <f>IF(ISNUMBER(Datos!BY10/Datos!CN10),Datos!BY10/Datos!CN10," - ")</f>
        <v>0</v>
      </c>
      <c r="K10" s="233">
        <f t="shared" ref="K10:K12" si="1">IF(ISNUMBER((E10-F10)/C10),(E10-F10)/C10," - ")</f>
        <v>-0.2109375</v>
      </c>
      <c r="L10" s="1028">
        <f>IF(ISNUMBER(NºAsuntos!I10/NºAsuntos!G10),(NºAsuntos!I10/NºAsuntos!G10)*11," - ")</f>
        <v>7.1677419354838712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128</v>
      </c>
      <c r="D13" s="1052">
        <f>SUBTOTAL(9,D9:D12)</f>
        <v>117</v>
      </c>
      <c r="E13" s="1053">
        <f>SUBTOTAL(9,E9:E12)</f>
        <v>128</v>
      </c>
      <c r="F13" s="1054">
        <f>SUBTOTAL(9,F9:F12)</f>
        <v>155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1736</v>
      </c>
      <c r="D15" s="228">
        <f>IF(ISNUMBER(IF(D_I="SI",Datos!I15,Datos!I15+Datos!AC15)),IF(D_I="SI",Datos!I15,Datos!I15+Datos!AC15)," - ")</f>
        <v>1499</v>
      </c>
      <c r="E15" s="229">
        <f>IF(ISNUMBER(IF(D_I="SI",Datos!J15,Datos!J15+Datos!AD15)),IF(D_I="SI",Datos!J15,Datos!J15+Datos!AD15)," - ")</f>
        <v>13200</v>
      </c>
      <c r="F15" s="229">
        <f>IF(ISNUMBER(IF(D_I="SI",Datos!K15,Datos!K15+Datos!AE15)),IF(D_I="SI",Datos!K15,Datos!K15+Datos!AE15)," - ")</f>
        <v>13268</v>
      </c>
      <c r="G15" s="1037" t="str">
        <f>IF(Datos!E15&lt;&gt;"",Datos!E15,Datos!D15)</f>
        <v>03</v>
      </c>
      <c r="H15" s="230">
        <f>IF(ISNUMBER(IF(D_I="SI",Datos!L15,Datos!L15+Datos!AF15)),IF(D_I="SI",Datos!L15,Datos!L15+Datos!AF15)," - ")</f>
        <v>1668</v>
      </c>
      <c r="I15" s="1047" t="str">
        <f>IF(ISNUMBER(Datos!AS15/Datos!BM15),Datos!AS15/Datos!BM15," - ")</f>
        <v xml:space="preserve"> - </v>
      </c>
      <c r="J15" s="1048">
        <f>IF(ISNUMBER(Datos!BY15/Datos!CN15),Datos!BY15/Datos!CN15," - ")</f>
        <v>0</v>
      </c>
      <c r="K15" s="233">
        <f t="shared" ref="K15:K17" si="3">IF(ISNUMBER((E15-F15)/C15),(E15-F15)/C15," - ")</f>
        <v>-3.9170506912442393E-2</v>
      </c>
      <c r="L15" s="1028">
        <f>IF(ISNUMBER(NºAsuntos!I15/NºAsuntos!G15),(NºAsuntos!I15/NºAsuntos!G15)*11," - ")</f>
        <v>1.3828760928549895</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307</v>
      </c>
      <c r="D17" s="228">
        <f>IF(ISNUMBER(IF(D_I="SI",Datos!I17,Datos!I17+Datos!AC17)),IF(D_I="SI",Datos!I17,Datos!I17+Datos!AC17)," - ")</f>
        <v>301</v>
      </c>
      <c r="E17" s="229">
        <f>IF(ISNUMBER(IF(D_I="SI",Datos!J17,Datos!J17+Datos!AD17)),IF(D_I="SI",Datos!J17,Datos!J17+Datos!AD17)," - ")</f>
        <v>1124</v>
      </c>
      <c r="F17" s="229">
        <f>IF(ISNUMBER(IF(D_I="SI",Datos!K17,Datos!K17+Datos!AE17)),IF(D_I="SI",Datos!K17,Datos!K17+Datos!AE17)," - ")</f>
        <v>1201</v>
      </c>
      <c r="G17" s="1037" t="str">
        <f>IF(Datos!E17&lt;&gt;"",Datos!E17,Datos!D17)</f>
        <v>37</v>
      </c>
      <c r="H17" s="230">
        <f>IF(ISNUMBER(IF(D_I="SI",Datos!L17,Datos!L17+Datos!AF17)),IF(D_I="SI",Datos!L17,Datos!L17+Datos!AF17)," - ")</f>
        <v>230</v>
      </c>
      <c r="I17" s="1047" t="str">
        <f>IF(ISNUMBER(Datos!AS17/Datos!BM17),Datos!AS17/Datos!BM17," - ")</f>
        <v xml:space="preserve"> - </v>
      </c>
      <c r="J17" s="1048" t="str">
        <f>IF(ISNUMBER((Datos!BY17+Datos!BZ17)/Datos!CN17),(Datos!BY17+Datos!BZ17)/Datos!CN17," - ")</f>
        <v xml:space="preserve"> - </v>
      </c>
      <c r="K17" s="233">
        <f t="shared" si="3"/>
        <v>-0.250814332247557</v>
      </c>
      <c r="L17" s="1028">
        <f>IF(ISNUMBER(NºAsuntos!I17/NºAsuntos!G17),(NºAsuntos!I17/NºAsuntos!G17)*11," - ")</f>
        <v>2.106577851790175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2043</v>
      </c>
      <c r="D18" s="1052">
        <f>SUBTOTAL(9,D15:D17)</f>
        <v>1800</v>
      </c>
      <c r="E18" s="1053">
        <f>SUBTOTAL(9,E15:E17)</f>
        <v>14324</v>
      </c>
      <c r="F18" s="1053">
        <f>SUBTOTAL(9,F15:F17)</f>
        <v>14469</v>
      </c>
      <c r="G18" s="1055" t="str">
        <f ca="1">INDIRECT(CONCATENATE("G",ROW()-1))</f>
        <v>37</v>
      </c>
      <c r="H18" s="1056">
        <f ca="1">SUMIF(G$14:G17,G18,H$14:H17)</f>
        <v>230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2171</v>
      </c>
      <c r="D19" s="1074">
        <f>SUBTOTAL(9,D9:D18)</f>
        <v>1917</v>
      </c>
      <c r="E19" s="1075">
        <f>SUBTOTAL(9,E9:E18)</f>
        <v>14452</v>
      </c>
      <c r="F19" s="1075">
        <f>SUBTOTAL(9,F9:F18)</f>
        <v>14624</v>
      </c>
      <c r="G19" s="1076"/>
      <c r="H19" s="1077">
        <f ca="1">SUMIF(B9:B18,"TOTAL",H9:H18)</f>
        <v>230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B6Hw8YR3xpa4EGN9kaBaftqdpKQgTrqNRzDoBAPGXhEmBagAumQQB+HPEiwXpgXNBt4KrJgZjjDFjwWrQbtCgg==" saltValue="DF5n5Hdfblj739hh0agTF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3ZemizAasCIpeENJsGc3v/xzoGIZ7MyocOJn3JxHLLbcyZq5GzFIajzbYaXafoOQdJoez3EMilumPux8NVgM/g==" saltValue="0ubwicNGXcO3XzCoW28P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5521</v>
      </c>
      <c r="J9" s="184">
        <v>8569</v>
      </c>
      <c r="K9" s="184">
        <v>6753</v>
      </c>
      <c r="L9" s="184">
        <v>7338</v>
      </c>
      <c r="M9" s="184">
        <v>1540</v>
      </c>
      <c r="N9" s="184">
        <v>3098</v>
      </c>
      <c r="O9" s="184">
        <v>3280</v>
      </c>
      <c r="P9" s="184">
        <v>1751</v>
      </c>
      <c r="Q9" s="184">
        <v>1761</v>
      </c>
      <c r="R9" s="184">
        <v>7300</v>
      </c>
      <c r="S9" s="184">
        <v>4758</v>
      </c>
      <c r="T9" s="184">
        <v>8043</v>
      </c>
      <c r="U9" s="184">
        <v>7601</v>
      </c>
      <c r="V9" s="184">
        <v>5521</v>
      </c>
      <c r="W9" s="184">
        <v>1776</v>
      </c>
      <c r="X9" s="191">
        <v>3331</v>
      </c>
      <c r="Y9" s="194">
        <v>81</v>
      </c>
      <c r="Z9" s="184">
        <v>390</v>
      </c>
      <c r="AA9" s="184">
        <v>399</v>
      </c>
      <c r="AB9" s="184">
        <v>72</v>
      </c>
      <c r="AC9" s="184">
        <v>0</v>
      </c>
      <c r="AD9" s="184">
        <v>0</v>
      </c>
      <c r="AE9" s="184">
        <v>0</v>
      </c>
      <c r="AF9" s="191">
        <v>0</v>
      </c>
      <c r="AG9" s="194">
        <v>89</v>
      </c>
      <c r="AH9" s="184">
        <v>540</v>
      </c>
      <c r="AI9" s="184">
        <v>530</v>
      </c>
      <c r="AJ9" s="195">
        <v>81</v>
      </c>
      <c r="AK9" s="183">
        <v>0</v>
      </c>
      <c r="AL9" s="184">
        <v>0</v>
      </c>
      <c r="AM9" s="184">
        <v>0</v>
      </c>
      <c r="AN9" s="191">
        <v>0</v>
      </c>
      <c r="AO9" s="261">
        <v>5</v>
      </c>
      <c r="AP9" s="157">
        <v>5</v>
      </c>
      <c r="AQ9" s="157">
        <v>5</v>
      </c>
      <c r="AR9" s="196">
        <v>5</v>
      </c>
      <c r="AS9" s="341" t="s">
        <v>800</v>
      </c>
      <c r="AT9" s="198"/>
      <c r="AU9" s="197"/>
      <c r="AV9" s="198"/>
      <c r="AW9" s="197"/>
      <c r="AX9" s="198"/>
      <c r="AY9" s="123">
        <f>IF(ISNUMBER(IF(J_V="SI",S9,S9+AG9)),IF(J_V="SI",S9,S9+AG9)," - ")</f>
        <v>4847</v>
      </c>
      <c r="AZ9" s="123">
        <f>IF(ISNUMBER(IF(J_V="SI",T9,T9+AH9)),IF(J_V="SI",T9,T9+AH9)," - ")</f>
        <v>8583</v>
      </c>
      <c r="BA9" s="124">
        <f>IF(ISNUMBER(IF(J_V="SI",U9,U9+AI9)),IF(J_V="SI",U9,U9+AI9)," - ")</f>
        <v>8131</v>
      </c>
      <c r="BB9" s="124">
        <f>IF(ISNUMBER(IF(J_V="SI",V9,V9+AJ9)),IF(J_V="SI",V9,V9+AJ9)," - ")</f>
        <v>5602</v>
      </c>
      <c r="BC9" s="125">
        <f>IF(ISNUMBER(X9),X9," - ")</f>
        <v>3331</v>
      </c>
      <c r="BD9" s="126">
        <f>IF(ISNUMBER(BA9/AZ9),BA9/AZ9," - ")</f>
        <v>0.94733776068973552</v>
      </c>
      <c r="BE9" s="127">
        <f>IF(ISNUMBER(BB9/BA9),BB9/BA9, " - ")</f>
        <v>0.68896814659943428</v>
      </c>
      <c r="BF9" s="127">
        <f>IF(ISNUMBER(BC9/BA9),BC9/BA9, " - ")</f>
        <v>0.40966670766203417</v>
      </c>
      <c r="BG9" s="199">
        <f>IF(ISNUMBER((AY9+AZ9)/BA9),(AY9+AZ9)/BA9," - ")</f>
        <v>1.6517033575206002</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117</v>
      </c>
      <c r="J10" s="184">
        <v>128</v>
      </c>
      <c r="K10" s="184">
        <v>155</v>
      </c>
      <c r="L10" s="184">
        <v>101</v>
      </c>
      <c r="M10" s="184">
        <v>55</v>
      </c>
      <c r="N10" s="184">
        <v>71</v>
      </c>
      <c r="O10" s="184">
        <v>44</v>
      </c>
      <c r="P10" s="184">
        <v>24</v>
      </c>
      <c r="Q10" s="184">
        <v>20</v>
      </c>
      <c r="R10" s="184">
        <v>85</v>
      </c>
      <c r="S10" s="184">
        <v>100</v>
      </c>
      <c r="T10" s="184">
        <v>159</v>
      </c>
      <c r="U10" s="184">
        <v>128</v>
      </c>
      <c r="V10" s="184">
        <v>117</v>
      </c>
      <c r="W10" s="184">
        <v>44</v>
      </c>
      <c r="X10" s="191">
        <v>60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100</v>
      </c>
      <c r="AZ10" s="129">
        <f t="shared" si="0"/>
        <v>159</v>
      </c>
      <c r="BA10" s="129">
        <f t="shared" si="0"/>
        <v>128</v>
      </c>
      <c r="BB10" s="129">
        <f t="shared" si="0"/>
        <v>117</v>
      </c>
      <c r="BC10" s="125">
        <f t="shared" si="0"/>
        <v>44</v>
      </c>
      <c r="BD10" s="126">
        <f>IF(ISNUMBER(BA10/AZ10),BA10/AZ10," - ")</f>
        <v>0.80503144654088055</v>
      </c>
      <c r="BE10" s="127">
        <f>IF(ISNUMBER(BB10/BA10),BB10/BA10, " - ")</f>
        <v>0.9140625</v>
      </c>
      <c r="BF10" s="127">
        <f>IF(ISNUMBER(BC10/BA10),BC10/BA10, " - ")</f>
        <v>0.34375</v>
      </c>
      <c r="BG10" s="199">
        <f>IF(ISNUMBER((AY10+AZ10)/BA10),(AY10+AZ10)/BA10," - ")</f>
        <v>2.0234375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5638</v>
      </c>
      <c r="J13" s="187">
        <f t="shared" si="6"/>
        <v>8697</v>
      </c>
      <c r="K13" s="187">
        <f t="shared" si="6"/>
        <v>6908</v>
      </c>
      <c r="L13" s="187">
        <f t="shared" si="6"/>
        <v>7439</v>
      </c>
      <c r="M13" s="187">
        <f t="shared" si="6"/>
        <v>1595</v>
      </c>
      <c r="N13" s="187">
        <f t="shared" si="6"/>
        <v>3169</v>
      </c>
      <c r="O13" s="187">
        <f t="shared" si="6"/>
        <v>3324</v>
      </c>
      <c r="P13" s="187">
        <f t="shared" si="6"/>
        <v>1775</v>
      </c>
      <c r="Q13" s="187">
        <f t="shared" si="6"/>
        <v>1781</v>
      </c>
      <c r="R13" s="187">
        <f t="shared" si="6"/>
        <v>7385</v>
      </c>
      <c r="S13" s="187">
        <f t="shared" si="6"/>
        <v>4858</v>
      </c>
      <c r="T13" s="187">
        <f t="shared" si="6"/>
        <v>8202</v>
      </c>
      <c r="U13" s="187">
        <f t="shared" si="6"/>
        <v>7729</v>
      </c>
      <c r="V13" s="187">
        <f t="shared" si="6"/>
        <v>5638</v>
      </c>
      <c r="W13" s="187">
        <f t="shared" si="6"/>
        <v>1820</v>
      </c>
      <c r="X13" s="187">
        <f t="shared" si="6"/>
        <v>3391</v>
      </c>
      <c r="Y13" s="187">
        <f t="shared" si="6"/>
        <v>81</v>
      </c>
      <c r="Z13" s="187">
        <f t="shared" si="6"/>
        <v>390</v>
      </c>
      <c r="AA13" s="187">
        <f t="shared" si="6"/>
        <v>399</v>
      </c>
      <c r="AB13" s="187">
        <f t="shared" si="6"/>
        <v>72</v>
      </c>
      <c r="AC13" s="187">
        <f t="shared" si="6"/>
        <v>0</v>
      </c>
      <c r="AD13" s="187">
        <f t="shared" si="6"/>
        <v>0</v>
      </c>
      <c r="AE13" s="187">
        <f t="shared" si="6"/>
        <v>0</v>
      </c>
      <c r="AF13" s="187">
        <f>SUBTOTAL(9,AF9:AF12)</f>
        <v>0</v>
      </c>
      <c r="AG13" s="187">
        <f t="shared" ref="AG13:AT13" si="7">SUBTOTAL(9,AG8:AG12)</f>
        <v>89</v>
      </c>
      <c r="AH13" s="187">
        <f t="shared" si="7"/>
        <v>540</v>
      </c>
      <c r="AI13" s="187">
        <f t="shared" si="7"/>
        <v>530</v>
      </c>
      <c r="AJ13" s="187">
        <f t="shared" si="7"/>
        <v>81</v>
      </c>
      <c r="AK13" s="187">
        <f t="shared" si="7"/>
        <v>0</v>
      </c>
      <c r="AL13" s="187">
        <f t="shared" si="7"/>
        <v>0</v>
      </c>
      <c r="AM13" s="187">
        <f t="shared" si="7"/>
        <v>0</v>
      </c>
      <c r="AN13" s="187">
        <f t="shared" si="7"/>
        <v>0</v>
      </c>
      <c r="AO13" s="187">
        <f t="shared" si="7"/>
        <v>6</v>
      </c>
      <c r="AP13" s="187">
        <f t="shared" si="7"/>
        <v>6</v>
      </c>
      <c r="AQ13" s="187">
        <f t="shared" si="7"/>
        <v>6</v>
      </c>
      <c r="AR13" s="187">
        <f t="shared" si="7"/>
        <v>6</v>
      </c>
      <c r="AS13" s="187">
        <f t="shared" si="7"/>
        <v>0</v>
      </c>
      <c r="AT13" s="187">
        <f t="shared" si="7"/>
        <v>0</v>
      </c>
      <c r="AU13" s="207"/>
      <c r="AV13" s="132"/>
      <c r="AW13" s="207"/>
      <c r="AX13" s="132"/>
      <c r="AY13" s="187">
        <f>SUBTOTAL(9,AY8:AY12)</f>
        <v>4947</v>
      </c>
      <c r="AZ13" s="187">
        <f>SUBTOTAL(9,AZ8:AZ12)</f>
        <v>8742</v>
      </c>
      <c r="BA13" s="187">
        <f>SUBTOTAL(9,BA8:BA12)</f>
        <v>8259</v>
      </c>
      <c r="BB13" s="187">
        <f>SUBTOTAL(9,BB8:BB12)</f>
        <v>5719</v>
      </c>
      <c r="BC13" s="187">
        <f>SUBTOTAL(9,BC8:BC12)</f>
        <v>3375</v>
      </c>
      <c r="BD13" s="208">
        <f>IF(ISNUMBER(BA13/AZ13),BA13/AZ13," - ")</f>
        <v>0.94474948524365132</v>
      </c>
      <c r="BE13" s="209">
        <f>IF(ISNUMBER(BB13/BA13),BB13/BA13, " - ")</f>
        <v>0.69245671388787988</v>
      </c>
      <c r="BF13" s="209">
        <f>IF(ISNUMBER(BC13/BA13),BC13/BA13, " - ")</f>
        <v>0.40864511442063206</v>
      </c>
      <c r="BG13" s="210">
        <f>IF(ISNUMBER((AY13+AZ13)/BA13),(AY13+AZ13)/BA13," - ")</f>
        <v>1.6574645840900835</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1499</v>
      </c>
      <c r="J15" s="186">
        <v>13200</v>
      </c>
      <c r="K15" s="186">
        <v>13268</v>
      </c>
      <c r="L15" s="186">
        <v>1668</v>
      </c>
      <c r="M15" s="186">
        <v>1286</v>
      </c>
      <c r="N15" s="186">
        <v>8455</v>
      </c>
      <c r="O15" s="184">
        <v>408</v>
      </c>
      <c r="P15" s="186">
        <v>498</v>
      </c>
      <c r="Q15" s="186">
        <v>490</v>
      </c>
      <c r="R15" s="186">
        <v>290</v>
      </c>
      <c r="S15" s="186">
        <v>1180</v>
      </c>
      <c r="T15" s="186">
        <v>12010</v>
      </c>
      <c r="U15" s="186">
        <v>11912</v>
      </c>
      <c r="V15" s="186">
        <v>1499</v>
      </c>
      <c r="W15" s="186">
        <v>1263</v>
      </c>
      <c r="X15" s="192">
        <v>7589</v>
      </c>
      <c r="Y15" s="205">
        <v>0</v>
      </c>
      <c r="Z15" s="186">
        <v>0</v>
      </c>
      <c r="AA15" s="186">
        <v>0</v>
      </c>
      <c r="AB15" s="186">
        <v>0</v>
      </c>
      <c r="AC15" s="186">
        <v>0</v>
      </c>
      <c r="AD15" s="186">
        <v>43</v>
      </c>
      <c r="AE15" s="186">
        <v>43</v>
      </c>
      <c r="AF15" s="192">
        <v>0</v>
      </c>
      <c r="AG15" s="205">
        <v>0</v>
      </c>
      <c r="AH15" s="186">
        <v>0</v>
      </c>
      <c r="AI15" s="186">
        <v>0</v>
      </c>
      <c r="AJ15" s="206">
        <v>0</v>
      </c>
      <c r="AK15" s="185">
        <v>0</v>
      </c>
      <c r="AL15" s="186">
        <v>51</v>
      </c>
      <c r="AM15" s="186">
        <v>51</v>
      </c>
      <c r="AN15" s="192">
        <v>0</v>
      </c>
      <c r="AO15" s="262">
        <v>4</v>
      </c>
      <c r="AP15" s="158">
        <v>4</v>
      </c>
      <c r="AQ15" s="158">
        <v>4</v>
      </c>
      <c r="AR15" s="158">
        <v>4</v>
      </c>
      <c r="AS15" s="343" t="s">
        <v>527</v>
      </c>
      <c r="AT15" s="206" t="s">
        <v>326</v>
      </c>
      <c r="AU15" s="205"/>
      <c r="AV15" s="206"/>
      <c r="AW15" s="205"/>
      <c r="AX15" s="206"/>
      <c r="AY15" s="128">
        <f t="shared" ref="AY15:BB16" si="9">IF(ISNUMBER(IF(D_I="SI",S15,S15+AK15)),IF(D_I="SI",S15,S15+AK15)," - ")</f>
        <v>1180</v>
      </c>
      <c r="AZ15" s="129">
        <f t="shared" si="9"/>
        <v>12010</v>
      </c>
      <c r="BA15" s="129">
        <f t="shared" si="9"/>
        <v>11912</v>
      </c>
      <c r="BB15" s="129">
        <f t="shared" si="9"/>
        <v>1499</v>
      </c>
      <c r="BC15" s="125">
        <f>IF(ISNUMBER(W15),W15," - ")</f>
        <v>1263</v>
      </c>
      <c r="BD15" s="126">
        <f>IF(ISNUMBER(BA15/AZ15),BA15/AZ15," - ")</f>
        <v>0.99184013322231479</v>
      </c>
      <c r="BE15" s="127">
        <f>IF(ISNUMBER(BB15/BA15),BB15/BA15, " - ")</f>
        <v>0.12583948959032909</v>
      </c>
      <c r="BF15" s="127">
        <f>IF(ISNUMBER(BC15/BA15),BC15/BA15, " - ")</f>
        <v>0.10602753525856279</v>
      </c>
      <c r="BG15" s="199">
        <f t="shared" ref="BG15:BG16" si="10">IF(ISNUMBER((AY15+AZ15)/BA15),(AY15+AZ15)/BA15," - ")</f>
        <v>1.1072867696440565</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301</v>
      </c>
      <c r="J17" s="186">
        <v>1124</v>
      </c>
      <c r="K17" s="186">
        <v>1201</v>
      </c>
      <c r="L17" s="186">
        <v>230</v>
      </c>
      <c r="M17" s="186">
        <v>93</v>
      </c>
      <c r="N17" s="186">
        <v>740</v>
      </c>
      <c r="O17" s="186">
        <v>0</v>
      </c>
      <c r="P17" s="186">
        <v>3</v>
      </c>
      <c r="Q17" s="186">
        <v>2</v>
      </c>
      <c r="R17" s="186">
        <v>5</v>
      </c>
      <c r="S17" s="186">
        <v>245</v>
      </c>
      <c r="T17" s="186">
        <v>1060</v>
      </c>
      <c r="U17" s="186">
        <v>1012</v>
      </c>
      <c r="V17" s="186">
        <v>301</v>
      </c>
      <c r="W17" s="186">
        <v>91</v>
      </c>
      <c r="X17" s="192">
        <v>572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245</v>
      </c>
      <c r="AZ17" s="129">
        <f t="shared" si="14"/>
        <v>1060</v>
      </c>
      <c r="BA17" s="129">
        <f t="shared" si="14"/>
        <v>1012</v>
      </c>
      <c r="BB17" s="129">
        <f t="shared" si="14"/>
        <v>301</v>
      </c>
      <c r="BC17" s="125">
        <f>IF(ISNUMBER(W17),W17," - ")</f>
        <v>91</v>
      </c>
      <c r="BD17" s="126">
        <f>IF(ISNUMBER(BA17/AZ17),BA17/AZ17," - ")</f>
        <v>0.95471698113207548</v>
      </c>
      <c r="BE17" s="127">
        <f>IF(ISNUMBER(BB17/BA17),BB17/BA17, " - ")</f>
        <v>0.2974308300395257</v>
      </c>
      <c r="BF17" s="127">
        <f>IF(ISNUMBER(BC17/BA17),BC17/BA17, " - ")</f>
        <v>8.9920948616600785E-2</v>
      </c>
      <c r="BG17" s="199">
        <f>IF(ISNUMBER((AY17+AZ17)/BA17),(AY17+AZ17)/BA17," - ")</f>
        <v>1.2895256916996047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1800</v>
      </c>
      <c r="J18" s="187">
        <f t="shared" si="15"/>
        <v>14324</v>
      </c>
      <c r="K18" s="187">
        <f t="shared" si="15"/>
        <v>14469</v>
      </c>
      <c r="L18" s="187">
        <f t="shared" si="15"/>
        <v>1898</v>
      </c>
      <c r="M18" s="187">
        <f t="shared" si="15"/>
        <v>1379</v>
      </c>
      <c r="N18" s="187">
        <f t="shared" si="15"/>
        <v>9195</v>
      </c>
      <c r="O18" s="187">
        <f t="shared" si="15"/>
        <v>408</v>
      </c>
      <c r="P18" s="187">
        <f t="shared" si="15"/>
        <v>501</v>
      </c>
      <c r="Q18" s="187">
        <f t="shared" si="15"/>
        <v>492</v>
      </c>
      <c r="R18" s="187">
        <f t="shared" si="15"/>
        <v>295</v>
      </c>
      <c r="S18" s="187">
        <f t="shared" si="15"/>
        <v>1425</v>
      </c>
      <c r="T18" s="187">
        <f t="shared" si="15"/>
        <v>13070</v>
      </c>
      <c r="U18" s="187">
        <f t="shared" si="15"/>
        <v>12924</v>
      </c>
      <c r="V18" s="187">
        <f t="shared" si="15"/>
        <v>1800</v>
      </c>
      <c r="W18" s="187">
        <f t="shared" si="15"/>
        <v>1354</v>
      </c>
      <c r="X18" s="187">
        <f t="shared" si="15"/>
        <v>8161</v>
      </c>
      <c r="Y18" s="187">
        <f t="shared" si="15"/>
        <v>0</v>
      </c>
      <c r="Z18" s="187">
        <f t="shared" si="15"/>
        <v>0</v>
      </c>
      <c r="AA18" s="187">
        <f t="shared" si="15"/>
        <v>0</v>
      </c>
      <c r="AB18" s="187">
        <f t="shared" si="15"/>
        <v>0</v>
      </c>
      <c r="AC18" s="187">
        <f t="shared" si="15"/>
        <v>0</v>
      </c>
      <c r="AD18" s="187">
        <f t="shared" si="15"/>
        <v>43</v>
      </c>
      <c r="AE18" s="187">
        <f t="shared" si="15"/>
        <v>43</v>
      </c>
      <c r="AF18" s="187">
        <f t="shared" si="15"/>
        <v>0</v>
      </c>
      <c r="AG18" s="187">
        <f t="shared" si="15"/>
        <v>0</v>
      </c>
      <c r="AH18" s="187">
        <f t="shared" si="15"/>
        <v>0</v>
      </c>
      <c r="AI18" s="187">
        <f t="shared" si="15"/>
        <v>0</v>
      </c>
      <c r="AJ18" s="187">
        <f t="shared" si="15"/>
        <v>0</v>
      </c>
      <c r="AK18" s="187">
        <f t="shared" si="15"/>
        <v>0</v>
      </c>
      <c r="AL18" s="187">
        <f t="shared" si="15"/>
        <v>51</v>
      </c>
      <c r="AM18" s="187">
        <f t="shared" si="15"/>
        <v>51</v>
      </c>
      <c r="AN18" s="187">
        <f t="shared" si="15"/>
        <v>0</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1425</v>
      </c>
      <c r="AZ18" s="187">
        <f>SUBTOTAL(9,AZ14:AZ17)</f>
        <v>13070</v>
      </c>
      <c r="BA18" s="187">
        <f>SUBTOTAL(9,BA14:BA17)</f>
        <v>12924</v>
      </c>
      <c r="BB18" s="187">
        <f>SUBTOTAL(9,BB14:BB17)</f>
        <v>1800</v>
      </c>
      <c r="BC18" s="187">
        <f>SUBTOTAL(9,BC14:BC17)</f>
        <v>1354</v>
      </c>
      <c r="BD18" s="208">
        <f>IF(ISNUMBER(BA18/AZ18),BA18/AZ18," - ")</f>
        <v>0.98882938026013767</v>
      </c>
      <c r="BE18" s="209">
        <f>IF(ISNUMBER(BB18/BA18),BB18/BA18, " - ")</f>
        <v>0.1392757660167131</v>
      </c>
      <c r="BF18" s="209">
        <f>IF(ISNUMBER(BC18/BA18),BC18/BA18, " - ")</f>
        <v>0.10476632621479418</v>
      </c>
      <c r="BG18" s="210">
        <f>IF(ISNUMBER((AY18+AZ18)/BA18),(AY18+AZ18)/BA18," - ")</f>
        <v>1.1215567935623645</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7438</v>
      </c>
      <c r="J19" s="134">
        <f t="shared" si="18"/>
        <v>23021</v>
      </c>
      <c r="K19" s="134">
        <f t="shared" si="18"/>
        <v>21377</v>
      </c>
      <c r="L19" s="134">
        <f t="shared" si="18"/>
        <v>9337</v>
      </c>
      <c r="M19" s="134">
        <f t="shared" si="18"/>
        <v>2974</v>
      </c>
      <c r="N19" s="134">
        <f t="shared" si="18"/>
        <v>12364</v>
      </c>
      <c r="O19" s="134">
        <f t="shared" si="18"/>
        <v>3732</v>
      </c>
      <c r="P19" s="134">
        <f t="shared" si="18"/>
        <v>2276</v>
      </c>
      <c r="Q19" s="134">
        <f t="shared" si="18"/>
        <v>2273</v>
      </c>
      <c r="R19" s="134">
        <f t="shared" si="18"/>
        <v>7680</v>
      </c>
      <c r="S19" s="134">
        <f t="shared" si="18"/>
        <v>6283</v>
      </c>
      <c r="T19" s="134">
        <f t="shared" si="18"/>
        <v>21272</v>
      </c>
      <c r="U19" s="134">
        <f t="shared" si="18"/>
        <v>20653</v>
      </c>
      <c r="V19" s="134">
        <f t="shared" si="18"/>
        <v>7438</v>
      </c>
      <c r="W19" s="134">
        <f t="shared" si="18"/>
        <v>3174</v>
      </c>
      <c r="X19" s="134">
        <f t="shared" si="18"/>
        <v>11552</v>
      </c>
      <c r="Y19" s="134">
        <f t="shared" si="18"/>
        <v>81</v>
      </c>
      <c r="Z19" s="134">
        <f t="shared" si="18"/>
        <v>390</v>
      </c>
      <c r="AA19" s="134">
        <f t="shared" si="18"/>
        <v>399</v>
      </c>
      <c r="AB19" s="134">
        <f t="shared" si="18"/>
        <v>72</v>
      </c>
      <c r="AC19" s="134">
        <f t="shared" si="18"/>
        <v>0</v>
      </c>
      <c r="AD19" s="134">
        <f t="shared" si="18"/>
        <v>43</v>
      </c>
      <c r="AE19" s="134">
        <f t="shared" si="18"/>
        <v>43</v>
      </c>
      <c r="AF19" s="134">
        <f t="shared" si="18"/>
        <v>0</v>
      </c>
      <c r="AG19" s="134">
        <f t="shared" si="18"/>
        <v>89</v>
      </c>
      <c r="AH19" s="134">
        <f t="shared" si="18"/>
        <v>540</v>
      </c>
      <c r="AI19" s="134">
        <f t="shared" si="18"/>
        <v>530</v>
      </c>
      <c r="AJ19" s="134">
        <f t="shared" si="18"/>
        <v>81</v>
      </c>
      <c r="AK19" s="134">
        <f t="shared" si="18"/>
        <v>0</v>
      </c>
      <c r="AL19" s="134">
        <f t="shared" si="18"/>
        <v>51</v>
      </c>
      <c r="AM19" s="134">
        <f t="shared" si="18"/>
        <v>51</v>
      </c>
      <c r="AN19" s="213">
        <f t="shared" si="18"/>
        <v>0</v>
      </c>
      <c r="AO19" s="214">
        <v>10</v>
      </c>
      <c r="AP19" s="214">
        <v>10</v>
      </c>
      <c r="AQ19" s="214">
        <v>10</v>
      </c>
      <c r="AR19" s="214">
        <v>10</v>
      </c>
      <c r="AS19" s="156">
        <f t="shared" si="18"/>
        <v>0</v>
      </c>
      <c r="AT19" s="156">
        <f t="shared" si="18"/>
        <v>0</v>
      </c>
      <c r="AU19" s="214"/>
      <c r="AV19" s="215"/>
      <c r="AW19" s="214"/>
      <c r="AX19" s="215"/>
      <c r="AY19" s="133">
        <f>SUBTOTAL(9,AY9:AY18)</f>
        <v>6372</v>
      </c>
      <c r="AZ19" s="134">
        <f>SUBTOTAL(9,AZ9:AZ18)</f>
        <v>21812</v>
      </c>
      <c r="BA19" s="134">
        <f>SUBTOTAL(9,BA9:BA18)</f>
        <v>21183</v>
      </c>
      <c r="BB19" s="134">
        <f>SUBTOTAL(9,BB9:BB18)</f>
        <v>7519</v>
      </c>
      <c r="BC19" s="135">
        <f>SUBTOTAL(9,BC9:BC18)</f>
        <v>4729</v>
      </c>
      <c r="BD19" s="216">
        <f>IF(ISNUMBER(BA19/AZ19),BA19/AZ19," - ")</f>
        <v>0.97116266275444707</v>
      </c>
      <c r="BE19" s="213">
        <f>IF(ISNUMBER(BB19/BA19),BB19/BA19, " - ")</f>
        <v>0.35495444460180331</v>
      </c>
      <c r="BF19" s="213">
        <f>IF(ISNUMBER(BC19/BA19),BC19/BA19, " - ")</f>
        <v>0.22324505499693151</v>
      </c>
      <c r="BG19" s="135">
        <f>IF(ISNUMBER((AY19+AZ19)/BA19),(AY19+AZ19)/BA19," - ")</f>
        <v>1.3305008733418306</v>
      </c>
      <c r="BH19" s="214">
        <f>SUBTOTAL(9,BH9:BH18)</f>
        <v>11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yCnNb1Dj+UkoQOmHBCzV8zFg+9y1w5YIWBJPZa+iNgPIu9q7KPSCz9/BfBqddLLdgGMf39/GWnGrblTNpjlfw==" saltValue="cfJS26xee2RWpC1nY4b9a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cI+wGpljYKPha66LBN5sJDa6DzIeCfu6C0nM9VxEvq5kUXTwQzo3Tz29BI/WYLiDeBthEh4B9tTax+KpUY6Aw==" saltValue="neTdkTivuEW75sbGdKcXW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FUENGIROLA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246</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390</v>
      </c>
      <c r="O9" s="337"/>
      <c r="P9" s="337"/>
      <c r="Q9" s="229">
        <f>IF(ISNUMBER(Datos!P9),Datos!P9,0)</f>
        <v>1751</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1761</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72</v>
      </c>
      <c r="AI9" s="337" t="str">
        <f>IF(ISNUMBER(Datos!CD9),Datos!CD9,"-")</f>
        <v>-</v>
      </c>
      <c r="AJ9" s="337" t="str">
        <f>IF(ISNUMBER(Datos!EN9),Datos!EN9," - ")</f>
        <v xml:space="preserve"> - </v>
      </c>
      <c r="AK9" s="337"/>
      <c r="AL9" s="482"/>
      <c r="AM9" s="338">
        <f>IF(ISNUMBER(Datos!R9),Datos!R9," - ")</f>
        <v>7300</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1540</v>
      </c>
      <c r="BD9" s="232">
        <f>IF(ISNUMBER(Datos!N9),Datos!N9," - ")</f>
        <v>3098</v>
      </c>
      <c r="BE9" s="232" t="str">
        <f>IF(ISNUMBER(Datos!BW9),Datos!BW9," - ")</f>
        <v xml:space="preserve"> - </v>
      </c>
      <c r="BF9" s="231" t="str">
        <f>IF(ISNUMBER(Datos!BX9),Datos!BX9," - ")</f>
        <v xml:space="preserve"> - </v>
      </c>
      <c r="BG9" s="246">
        <f>IF(ISNUMBER(IF(J_V="SI",Datos!K9/Datos!J9,(Datos!K9+Datos!AA9)/(Datos!J9+Datos!Z9))),IF(J_V="SI",Datos!K9/Datos!J9,(Datos!K9+Datos!AA9)/(Datos!J9+Datos!Z9))," - ")</f>
        <v>0.79830338207389218</v>
      </c>
      <c r="BH9" s="263">
        <f>IF(ISNUMBER(((IF(J_V="SI",Datos!L9/Datos!K9,(Datos!L9+Datos!AB9)/(Datos!K9+Datos!AA9)))*11)/factor_trimestre),((IF(J_V="SI",Datos!L9/Datos!K9,(Datos!L9+Datos!AB9)/(Datos!K9+Datos!AA9)))*11)/factor_trimestre," - ")</f>
        <v>11.396812080536913</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-1.3679890560875513E-3</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128</v>
      </c>
      <c r="G10" s="336">
        <f>IF(ISNUMBER(Datos!I10),Datos!I10," - ")</f>
        <v>117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155</v>
      </c>
      <c r="AC10" s="229">
        <f>IF(ISNUMBER(Datos!Q10),Datos!Q10," - ")</f>
        <v>20</v>
      </c>
      <c r="AD10" s="337"/>
      <c r="AE10" s="487"/>
      <c r="AF10" s="335">
        <f>IF(ISNUMBER(Datos!L10),Datos!L10,"-")</f>
        <v>101</v>
      </c>
      <c r="AG10" s="337"/>
      <c r="AH10" s="337"/>
      <c r="AI10" s="337"/>
      <c r="AJ10" s="337"/>
      <c r="AK10" s="337"/>
      <c r="AL10" s="482"/>
      <c r="AM10" s="338">
        <f>IF(ISNUMBER(Datos!R10),Datos!R10," - ")</f>
        <v>85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55</v>
      </c>
      <c r="BD10" s="232">
        <f>IF(ISNUMBER(Datos!N10),Datos!N10," - ")</f>
        <v>71</v>
      </c>
      <c r="BE10" s="232" t="str">
        <f>IF(ISNUMBER(Datos!BW10),Datos!BW10," - ")</f>
        <v xml:space="preserve"> - </v>
      </c>
      <c r="BF10" s="231" t="str">
        <f>IF(ISNUMBER(Datos!BX10),Datos!BX10," - ")</f>
        <v xml:space="preserve"> - </v>
      </c>
      <c r="BG10" s="246">
        <f>IF(ISNUMBER(Datos!K10/Datos!J10),Datos!K10/Datos!J10," - ")</f>
        <v>1.2109375</v>
      </c>
      <c r="BH10" s="263">
        <f>IF(ISNUMBER(((Datos!L10/Datos!K10)*11)/factor_trimestre),((Datos!L10/Datos!K10)*11)/factor_trimestre," - ")</f>
        <v>7.1677419354838712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4.9382716049382713E-2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128</v>
      </c>
      <c r="G13" s="901">
        <f t="shared" si="0"/>
        <v>117</v>
      </c>
      <c r="H13" s="902">
        <f t="shared" si="0"/>
        <v>0</v>
      </c>
      <c r="I13" s="901">
        <f t="shared" si="0"/>
        <v>0</v>
      </c>
      <c r="J13" s="870">
        <f t="shared" si="0"/>
        <v>0</v>
      </c>
      <c r="K13" s="870">
        <f t="shared" si="0"/>
        <v>0</v>
      </c>
      <c r="L13" s="902">
        <f t="shared" si="0"/>
        <v>0</v>
      </c>
      <c r="M13" s="902">
        <f t="shared" si="0"/>
        <v>0</v>
      </c>
      <c r="N13" s="902">
        <f t="shared" si="0"/>
        <v>390</v>
      </c>
      <c r="O13" s="903">
        <f t="shared" si="0"/>
        <v>0</v>
      </c>
      <c r="P13" s="903">
        <f t="shared" si="0"/>
        <v>0</v>
      </c>
      <c r="Q13" s="902">
        <f t="shared" si="0"/>
        <v>1775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155</v>
      </c>
      <c r="AC13" s="902">
        <f t="shared" si="1"/>
        <v>1781</v>
      </c>
      <c r="AD13" s="902">
        <f t="shared" si="1"/>
        <v>0</v>
      </c>
      <c r="AE13" s="902">
        <f t="shared" si="1"/>
        <v>0</v>
      </c>
      <c r="AF13" s="902">
        <f t="shared" si="1"/>
        <v>101</v>
      </c>
      <c r="AG13" s="902">
        <f t="shared" si="1"/>
        <v>0</v>
      </c>
      <c r="AH13" s="902">
        <f t="shared" si="1"/>
        <v>72</v>
      </c>
      <c r="AI13" s="902">
        <f t="shared" si="1"/>
        <v>0</v>
      </c>
      <c r="AJ13" s="902">
        <f t="shared" si="1"/>
        <v>0</v>
      </c>
      <c r="AK13" s="902">
        <f t="shared" si="1"/>
        <v>0</v>
      </c>
      <c r="AL13" s="902">
        <f t="shared" si="1"/>
        <v>0</v>
      </c>
      <c r="AM13" s="902">
        <f t="shared" si="1"/>
        <v>7385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1595</v>
      </c>
      <c r="BD13" s="902">
        <f t="shared" si="1"/>
        <v>3169</v>
      </c>
      <c r="BE13" s="902">
        <f t="shared" si="1"/>
        <v>0</v>
      </c>
      <c r="BF13" s="902">
        <f t="shared" si="1"/>
        <v>0</v>
      </c>
      <c r="BG13" s="902">
        <f>IF(ISNUMBER(Datos!K13/Datos!J13),Datos!K13/Datos!J13," - ")</f>
        <v>0.79429688398298259</v>
      </c>
      <c r="BH13" s="906">
        <f>IF(ISNUMBER(((Datos!L13/Datos!K13)*11)/factor_trimestre),((Datos!L13/Datos!K13)*11)/factor_trimestre," - ")</f>
        <v>11.845541401273886</v>
      </c>
      <c r="BI13" s="902">
        <f>IF(ISNUMBER('Resol  Asuntos'!D13/NºAsuntos!G13),'Resol  Asuntos'!D13/NºAsuntos!G13," - ")</f>
        <v>0.21828383741617627</v>
      </c>
      <c r="BJ13" s="902" t="str">
        <f>IF(ISNUMBER(Datos!CI13/Datos!CJ13),Datos!CI13/Datos!CJ13," - ")</f>
        <v xml:space="preserve"> - </v>
      </c>
      <c r="BK13" s="902">
        <f>SUBTOTAL(9,BK8:BK12)</f>
        <v>0</v>
      </c>
      <c r="BL13" s="902">
        <f>IF(ISNUMBER((I13-AB13+L13)/(F13)),(I13-AB13+L13)/(F13)," - ")</f>
        <v>-1.2109375</v>
      </c>
      <c r="BM13" s="907">
        <f>SUBTOTAL(9,BM9:BM12)</f>
        <v>4.8014726993295162E-2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396</v>
      </c>
      <c r="C15" s="603" t="str">
        <f>Datos!A15</f>
        <v xml:space="preserve">Jdos. Instrucción                               </v>
      </c>
      <c r="D15" s="604"/>
      <c r="E15" s="1168">
        <f>IF(ISNUMBER(Datos!AQ15),Datos!AQ15," - ")</f>
        <v>4</v>
      </c>
      <c r="F15" s="598">
        <f>IF(ISNUMBER(AF15+AB15-Datos!J15-L15),AF15+AB15-Datos!J15-L15," - ")</f>
        <v>1736</v>
      </c>
      <c r="G15" s="601">
        <f>IF(ISNUMBER(IF(D_I="SI",Datos!I15,Datos!I15+Datos!AC15)),IF(D_I="SI",Datos!I15,Datos!I15+Datos!AC15)," - ")</f>
        <v>1499</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498</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13268</v>
      </c>
      <c r="AC15" s="229">
        <f>IF(ISNUMBER(Datos!Q15),Datos!Q15," - ")</f>
        <v>490</v>
      </c>
      <c r="AD15" s="337"/>
      <c r="AE15" s="487"/>
      <c r="AF15" s="599">
        <f>IF(ISNUMBER(IF(D_I="SI",Datos!L15,Datos!L15+Datos!AF15)),IF(D_I="SI",Datos!L15,Datos!L15+Datos!AF15)," - ")</f>
        <v>1668</v>
      </c>
      <c r="AG15" s="337"/>
      <c r="AH15" s="337"/>
      <c r="AI15" s="337"/>
      <c r="AJ15" s="337"/>
      <c r="AK15" s="337"/>
      <c r="AL15" s="482"/>
      <c r="AM15" s="338">
        <f>IF(ISNUMBER(Datos!R15),Datos!R15," - ")</f>
        <v>290</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1286</v>
      </c>
      <c r="BD15" s="232">
        <f>IF(ISNUMBER(Datos!N15),Datos!N15," - ")</f>
        <v>8455</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1.0051515151515151</v>
      </c>
      <c r="BH15" s="263">
        <f>IF(ISNUMBER(((IF(D_I="SI",Datos!L15/Datos!K15,(Datos!L15+Datos!AF15)/(Datos!K15+Datos!AE15)))*11)/factor_trimestre),((IF(D_I="SI",Datos!L15/Datos!K15,(Datos!L15+Datos!AF15)/(Datos!K15+Datos!AE15)))*11)/factor_trimestre," - ")</f>
        <v>1.3828760928549895</v>
      </c>
      <c r="BI15" s="246">
        <f>IF(ISNUMBER('Resol  Asuntos'!D15/NºAsuntos!G15),'Resol  Asuntos'!D15/NºAsuntos!G15," - ")</f>
        <v>9.6924932167621339E-2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301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1201</v>
      </c>
      <c r="AC17" s="229">
        <f>IF(ISNUMBER(Datos!Q17),Datos!Q17," - ")</f>
        <v>2</v>
      </c>
      <c r="AD17" s="337"/>
      <c r="AE17" s="487"/>
      <c r="AF17" s="335">
        <f>IF(ISNUMBER(Datos!L17),Datos!L17,"-")</f>
        <v>230</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93</v>
      </c>
      <c r="BD17" s="232">
        <f>IF(ISNUMBER(Datos!N17),Datos!N17," - ")</f>
        <v>740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1.0685053380782918</v>
      </c>
      <c r="BH17" s="263">
        <f>IF(ISNUMBER(((IF(D_I="SI",Datos!L17/Datos!K17,(Datos!L17+Datos!AF17)/(Datos!K17+Datos!AE17)))*11)/factor_trimestre),((IF(D_I="SI",Datos!L17/Datos!K17,(Datos!L17+Datos!AF17)/(Datos!K17+Datos!AE17)))*11)/factor_trimestre," - ")</f>
        <v>2.106577851790175</v>
      </c>
      <c r="BI17" s="246">
        <f>IF(ISNUMBER('Resol  Asuntos'!D17/NºAsuntos!G17),'Resol  Asuntos'!D17/NºAsuntos!G17," - ")</f>
        <v>7.743547044129892E-2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1736</v>
      </c>
      <c r="G18" s="901">
        <f>SUBTOTAL(9,G15:G17)</f>
        <v>1800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501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14469</v>
      </c>
      <c r="AC18" s="902">
        <f t="shared" si="4"/>
        <v>492</v>
      </c>
      <c r="AD18" s="902">
        <f t="shared" si="4"/>
        <v>0</v>
      </c>
      <c r="AE18" s="902">
        <f t="shared" si="4"/>
        <v>0</v>
      </c>
      <c r="AF18" s="902">
        <f t="shared" si="4"/>
        <v>1898</v>
      </c>
      <c r="AG18" s="902">
        <f t="shared" si="4"/>
        <v>0</v>
      </c>
      <c r="AH18" s="902">
        <f t="shared" si="4"/>
        <v>0</v>
      </c>
      <c r="AI18" s="902">
        <f t="shared" si="4"/>
        <v>0</v>
      </c>
      <c r="AJ18" s="902">
        <f t="shared" si="4"/>
        <v>0</v>
      </c>
      <c r="AK18" s="902">
        <f t="shared" si="4"/>
        <v>0</v>
      </c>
      <c r="AL18" s="902">
        <f t="shared" si="4"/>
        <v>0</v>
      </c>
      <c r="AM18" s="902">
        <f t="shared" si="4"/>
        <v>295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1379</v>
      </c>
      <c r="BD18" s="902">
        <f t="shared" si="4"/>
        <v>9195</v>
      </c>
      <c r="BE18" s="902">
        <f t="shared" si="4"/>
        <v>0</v>
      </c>
      <c r="BF18" s="902">
        <f t="shared" si="4"/>
        <v>0</v>
      </c>
      <c r="BG18" s="902">
        <f>IF(ISNUMBER(Datos!K18/Datos!J18),Datos!K18/Datos!J18," - ")</f>
        <v>1.0101228707065066</v>
      </c>
      <c r="BH18" s="906">
        <f>IF(ISNUMBER(((Datos!L18/Datos!K18)*11)/factor_trimestre),((Datos!L18/Datos!K18)*11)/factor_trimestre," - ")</f>
        <v>1.4429469901168015</v>
      </c>
      <c r="BI18" s="902">
        <f>SUBTOTAL(9,BI15:BI17)</f>
        <v>0.17436040260892027</v>
      </c>
      <c r="BJ18" s="902">
        <f>SUBTOTAL(9,BJ15:BJ17)</f>
        <v>0</v>
      </c>
      <c r="BK18" s="902">
        <f>SUBTOTAL(9,BK15:BK17)</f>
        <v>0</v>
      </c>
      <c r="BL18" s="902">
        <f>IF(ISNUMBER((I18-AB18+L18)/(F18)),(I18-AB18+L18)/(F18)," - ")</f>
        <v>-8.3346774193548381</v>
      </c>
      <c r="BM18" s="908">
        <f>IF(ISNUMBER((Datos!P18-Datos!Q18)/(Datos!R18-Datos!P18+Datos!Q18)),(Datos!P18-Datos!Q18)/(Datos!R18-Datos!P18+Datos!Q18)," - ")</f>
        <v>3.1468531468531472E-2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11</v>
      </c>
      <c r="F19" s="823">
        <f t="shared" si="6"/>
        <v>1864</v>
      </c>
      <c r="G19" s="823">
        <f t="shared" si="6"/>
        <v>1917</v>
      </c>
      <c r="H19" s="825">
        <f t="shared" si="6"/>
        <v>0</v>
      </c>
      <c r="I19" s="823">
        <f t="shared" si="6"/>
        <v>0</v>
      </c>
      <c r="J19" s="825">
        <f t="shared" si="6"/>
        <v>0</v>
      </c>
      <c r="K19" s="825">
        <f t="shared" si="6"/>
        <v>0</v>
      </c>
      <c r="L19" s="884">
        <f t="shared" si="6"/>
        <v>0</v>
      </c>
      <c r="M19" s="884">
        <f t="shared" si="6"/>
        <v>0</v>
      </c>
      <c r="N19" s="884">
        <f t="shared" si="6"/>
        <v>390</v>
      </c>
      <c r="O19" s="884">
        <f t="shared" si="6"/>
        <v>0</v>
      </c>
      <c r="P19" s="884">
        <f t="shared" si="6"/>
        <v>0</v>
      </c>
      <c r="Q19" s="825">
        <f t="shared" si="6"/>
        <v>2276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14624</v>
      </c>
      <c r="AC19" s="824">
        <f t="shared" si="7"/>
        <v>2273</v>
      </c>
      <c r="AD19" s="824">
        <f t="shared" si="7"/>
        <v>0</v>
      </c>
      <c r="AE19" s="824">
        <f t="shared" si="7"/>
        <v>0</v>
      </c>
      <c r="AF19" s="831">
        <f t="shared" si="7"/>
        <v>1999</v>
      </c>
      <c r="AG19" s="831">
        <f t="shared" si="7"/>
        <v>0</v>
      </c>
      <c r="AH19" s="831">
        <f t="shared" si="7"/>
        <v>72</v>
      </c>
      <c r="AI19" s="831">
        <f t="shared" si="7"/>
        <v>0</v>
      </c>
      <c r="AJ19" s="824">
        <f t="shared" si="7"/>
        <v>0</v>
      </c>
      <c r="AK19" s="831">
        <f t="shared" si="7"/>
        <v>0</v>
      </c>
      <c r="AL19" s="831">
        <f t="shared" si="7"/>
        <v>0</v>
      </c>
      <c r="AM19" s="831">
        <f t="shared" si="7"/>
        <v>7680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2974</v>
      </c>
      <c r="BD19" s="823">
        <f t="shared" si="7"/>
        <v>12364</v>
      </c>
      <c r="BE19" s="823">
        <f t="shared" si="7"/>
        <v>0</v>
      </c>
      <c r="BF19" s="833">
        <f t="shared" si="7"/>
        <v>0</v>
      </c>
      <c r="BG19" s="918">
        <f>IF(ISNUMBER(Datos!K19/Datos!J19),Datos!K19/Datos!J19," - ")</f>
        <v>0.92858694235697836</v>
      </c>
      <c r="BH19" s="918">
        <f>IF(ISNUMBER(((Datos!L19/Datos!K19)*11)/factor_trimestre),((Datos!L19/Datos!K19)*11)/factor_trimestre," - ")</f>
        <v>4.8045562988258412</v>
      </c>
      <c r="BI19" s="816">
        <f>IF(ISNUMBER(Datos!J19/Datos!I19),Datos!J19/Datos!I19," - ")</f>
        <v>3.0950524334498519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-7.8454935622317601</v>
      </c>
      <c r="BM19" s="892">
        <f>IF(ISNUMBER((Datos!P19-Datos!Q19+R19)/(Datos!R19-Datos!P19+Datos!Q19-R19)),(Datos!P19-Datos!Q19+R19)/(Datos!R19-Datos!P19+Datos!Q19-R19)," - ")</f>
        <v>3.9077764751856197E-4</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766.8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2.5055493963954847</v>
      </c>
      <c r="F21" s="554">
        <f>IF(ISNUMBER(STDEV(F8:F18)),STDEV(F8:F18),"-")</f>
        <v>928.37923285691818</v>
      </c>
      <c r="G21" s="555">
        <f>IF(ISNUMBER(STDEV(G8:G18)),STDEV(G8:G18),"-")</f>
        <v>816.25192189666541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7344.9495437341157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719.20585833728205</v>
      </c>
      <c r="BD21" s="554"/>
      <c r="BE21" s="554">
        <f>IF(ISNUMBER(STDEV(BE8:BE18)),STDEV(BE8:BE18),"-")</f>
        <v>0</v>
      </c>
      <c r="BF21" s="559">
        <f>IF(ISNUMBER(STDEV(BF8:BF18)),STDEV(BF8:BF18),"-")</f>
        <v>0</v>
      </c>
      <c r="BG21" s="778">
        <f>IF(ISNUMBER(STDEV(BG8:BG18)),STDEV(BG8:BG18),"-")</f>
        <v>0.16136647347959385</v>
      </c>
      <c r="BH21" s="779">
        <f>IF(ISNUMBER(STDEV(BH8:BH18)),STDEV(BH8:BH18),"-")</f>
        <v>4.9362091857281278</v>
      </c>
      <c r="BI21" s="252">
        <f>IF(ISNUMBER(STDEV(BI8:BI18)),STDEV(BI8:BI18),"-")</f>
        <v>6.5996242421083942E-2</v>
      </c>
      <c r="BJ21" s="233" t="str">
        <f>IF(ISNUMBER(BL21/BM21),BL21/BM21," - ")</f>
        <v xml:space="preserve"> - </v>
      </c>
      <c r="BK21" s="578"/>
      <c r="BL21" s="562">
        <f>IF(ISNUMBER(STDEV(BL8:BL18)),STDEV(BL8:BL18),"-")</f>
        <v>5.0372448043851152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ZZcsqtm2/goIC013stVW4sQJGJ+rUVMHfAnVSDFXlmFYIYBUWnCw6HJAR2sYS0ZlheVhimH0U4uaTQ9wp9W7oA==" saltValue="ZqMm0AqNrid14VcrSN0SD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FUENGIROLA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1751</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1761</v>
      </c>
      <c r="AA9" s="335" t="str">
        <f>IF(ISNUMBER(IF(J_V="SI",Datos!L9,Datos!L9+Datos!AB9)-IF(Monitorios="SI",Datos!CD9,0)),
                          IF(J_V="SI",Datos!L9,Datos!L9+Datos!AB9)-IF(Monitorios="SI",Datos!CD9,0),
                          " - ")</f>
        <v xml:space="preserve"> - </v>
      </c>
      <c r="AB9" s="337"/>
      <c r="AC9" s="337"/>
      <c r="AD9" s="487"/>
      <c r="AE9" s="487">
        <f>IF(ISNUMBER(Datos!R9),Datos!R9," - ")</f>
        <v>7300</v>
      </c>
      <c r="AF9" s="232" t="str">
        <f>IF(ISNUMBER(Datos!BV9),Datos!BV9," - ")</f>
        <v xml:space="preserve"> - </v>
      </c>
      <c r="AG9" s="228" t="str">
        <f>IF(ISNUMBER(Datos!DV9),Datos!DV9," - ")</f>
        <v xml:space="preserve"> - </v>
      </c>
      <c r="AH9" s="301"/>
      <c r="AI9" s="230"/>
      <c r="AJ9" s="228">
        <f>IF(ISNUMBER(Datos!M9),Datos!M9," - ")</f>
        <v>1540</v>
      </c>
      <c r="AK9" s="232">
        <f>IF(ISNUMBER(Datos!N9),Datos!N9," - ")</f>
        <v>3098</v>
      </c>
      <c r="AL9" s="232" t="str">
        <f>IF(ISNUMBER(Datos!BW9),Datos!BW9," - ")</f>
        <v xml:space="preserve"> - </v>
      </c>
      <c r="AM9" s="231" t="str">
        <f>IF(ISNUMBER(Datos!BX9),Datos!BX9," - ")</f>
        <v xml:space="preserve"> - </v>
      </c>
      <c r="AN9" s="246"/>
      <c r="AO9" s="263">
        <f>IF(ISNUMBER(((NºAsuntos!I9/NºAsuntos!G9)*11)/factor_trimestre),((NºAsuntos!I9/NºAsuntos!G9)*11)/factor_trimestre," - ")</f>
        <v>11.396812080536913</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-1.3679890560875513E-3</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128</v>
      </c>
      <c r="G10" s="228">
        <f>IF(ISNUMBER(Datos!I10),Datos!I10," - ")</f>
        <v>117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155</v>
      </c>
      <c r="Z10" s="622">
        <f>IF(ISNUMBER(Datos!Q10),Datos!Q10," - ")</f>
        <v>20</v>
      </c>
      <c r="AA10" s="335">
        <f>IF(ISNUMBER(Datos!L10),Datos!L10,"-")</f>
        <v>101</v>
      </c>
      <c r="AB10" s="337"/>
      <c r="AC10" s="337"/>
      <c r="AD10" s="487"/>
      <c r="AE10" s="487">
        <f>IF(ISNUMBER(Datos!R10),Datos!R10," - ")</f>
        <v>85</v>
      </c>
      <c r="AF10" s="232" t="str">
        <f>IF(ISNUMBER(Datos!BV10),Datos!BV10," - ")</f>
        <v xml:space="preserve"> - </v>
      </c>
      <c r="AG10" s="228" t="str">
        <f>IF(ISNUMBER(Datos!DV10),Datos!DV10," - ")</f>
        <v xml:space="preserve"> - </v>
      </c>
      <c r="AH10" s="301"/>
      <c r="AI10" s="230"/>
      <c r="AJ10" s="228">
        <f>IF(ISNUMBER(Datos!M10),Datos!M10," - ")</f>
        <v>55</v>
      </c>
      <c r="AK10" s="232">
        <f>IF(ISNUMBER(Datos!N10),Datos!N10," - ")</f>
        <v>71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7.1677419354838712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4.9382716049382713E-2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128</v>
      </c>
      <c r="G13" s="901">
        <f>SUBTOTAL(9,G8:G12)</f>
        <v>117</v>
      </c>
      <c r="H13" s="911"/>
      <c r="I13" s="901">
        <f t="shared" ref="I13:N13" si="0">SUBTOTAL(9,I8:I12)</f>
        <v>0</v>
      </c>
      <c r="J13" s="870">
        <f t="shared" si="0"/>
        <v>0</v>
      </c>
      <c r="K13" s="911">
        <f t="shared" si="0"/>
        <v>0</v>
      </c>
      <c r="L13" s="911">
        <f t="shared" si="0"/>
        <v>0</v>
      </c>
      <c r="M13" s="911">
        <f t="shared" si="0"/>
        <v>0</v>
      </c>
      <c r="N13" s="911">
        <f t="shared" si="0"/>
        <v>1775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155</v>
      </c>
      <c r="Z13" s="910">
        <f t="shared" si="2"/>
        <v>1781</v>
      </c>
      <c r="AA13" s="903">
        <f t="shared" si="2"/>
        <v>101</v>
      </c>
      <c r="AB13" s="903">
        <f t="shared" si="2"/>
        <v>0</v>
      </c>
      <c r="AC13" s="903">
        <f t="shared" si="2"/>
        <v>0</v>
      </c>
      <c r="AD13" s="903">
        <f t="shared" si="2"/>
        <v>0</v>
      </c>
      <c r="AE13" s="903">
        <f t="shared" si="2"/>
        <v>7385</v>
      </c>
      <c r="AF13" s="911">
        <f t="shared" si="2"/>
        <v>0</v>
      </c>
      <c r="AG13" s="911">
        <f t="shared" si="2"/>
        <v>0</v>
      </c>
      <c r="AH13" s="911">
        <f t="shared" si="2"/>
        <v>0</v>
      </c>
      <c r="AI13" s="911">
        <f t="shared" si="2"/>
        <v>0</v>
      </c>
      <c r="AJ13" s="911">
        <f t="shared" si="2"/>
        <v>1595</v>
      </c>
      <c r="AK13" s="911">
        <f t="shared" si="2"/>
        <v>3169</v>
      </c>
      <c r="AL13" s="911">
        <f t="shared" si="2"/>
        <v>0</v>
      </c>
      <c r="AM13" s="911">
        <f t="shared" si="2"/>
        <v>0</v>
      </c>
      <c r="AN13" s="911">
        <f t="shared" si="2"/>
        <v>0</v>
      </c>
      <c r="AO13" s="907">
        <f>IF(ISNUMBER(((NºAsuntos!I13/NºAsuntos!G13)*11)/factor_trimestre),((NºAsuntos!I13/NºAsuntos!G13)*11)/factor_trimestre," - ")</f>
        <v>11.30710277815793</v>
      </c>
      <c r="AP13" s="913" t="str">
        <f>IF(ISNUMBER(Datos!CI13/Datos!CJ13),Datos!CI13/Datos!CJ13," - ")</f>
        <v xml:space="preserve"> - </v>
      </c>
      <c r="AQ13" s="931">
        <f t="shared" ref="AQ13:AV13" si="3">SUBTOTAL(9,AQ9:AQ12)</f>
        <v>0</v>
      </c>
      <c r="AR13" s="931">
        <f t="shared" si="3"/>
        <v>4.8014726993295162E-2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396</v>
      </c>
      <c r="C15" s="163" t="str">
        <f>Datos!A15</f>
        <v xml:space="preserve">Jdos. Instrucción                               </v>
      </c>
      <c r="D15" s="505"/>
      <c r="E15" s="1171">
        <f>IF(ISNUMBER(Datos!AQ15),Datos!AQ15," - ")</f>
        <v>4</v>
      </c>
      <c r="F15" s="336">
        <f>IF(ISNUMBER(AA15+Y15-Datos!J15-K15),AA15+Y15-Datos!J15-K15," - ")</f>
        <v>1736</v>
      </c>
      <c r="G15" s="228">
        <f>IF(ISNUMBER(IF(D_I="SI",Datos!I15,Datos!I15+Datos!AC15)),IF(D_I="SI",Datos!I15,Datos!I15+Datos!AC15)," - ")</f>
        <v>1499</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498</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13268</v>
      </c>
      <c r="Z15" s="622">
        <f>IF(ISNUMBER(Datos!Q15),Datos!Q15," - ")</f>
        <v>490</v>
      </c>
      <c r="AA15" s="335">
        <f>IF(ISNUMBER(IF(D_I="SI",Datos!L15,Datos!L15+Datos!AF15)),IF(D_I="SI",Datos!L15,Datos!L15+Datos!AF15)," - ")</f>
        <v>1668</v>
      </c>
      <c r="AB15" s="337"/>
      <c r="AC15" s="337"/>
      <c r="AD15" s="487"/>
      <c r="AE15" s="487">
        <f>IF(ISNUMBER(Datos!R15),Datos!R15," - ")</f>
        <v>290</v>
      </c>
      <c r="AF15" s="232" t="str">
        <f>IF(ISNUMBER(Datos!BV15),Datos!BV15," - ")</f>
        <v xml:space="preserve"> - </v>
      </c>
      <c r="AG15" s="228"/>
      <c r="AH15" s="301"/>
      <c r="AI15" s="230"/>
      <c r="AJ15" s="228">
        <f>IF(ISNUMBER(Datos!M15),Datos!M15," - ")</f>
        <v>1286</v>
      </c>
      <c r="AK15" s="232">
        <f>IF(ISNUMBER(Datos!N15),Datos!N15," - ")</f>
        <v>8455</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1.3828760928549895</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301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1201</v>
      </c>
      <c r="Z17" s="622">
        <f>IF(ISNUMBER(Datos!Q17),Datos!Q17," - ")</f>
        <v>2</v>
      </c>
      <c r="AA17" s="335">
        <f>IF(ISNUMBER(Datos!L17),Datos!L17,"-")</f>
        <v>230</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93</v>
      </c>
      <c r="AK17" s="232">
        <f>IF(ISNUMBER(Datos!N17),Datos!N17," - ")</f>
        <v>740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2.106577851790175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1736</v>
      </c>
      <c r="G18" s="901">
        <f>SUBTOTAL(9,G15:G17)</f>
        <v>1800</v>
      </c>
      <c r="H18" s="935">
        <f>SUBTOTAL(9,H15:H17)</f>
        <v>0</v>
      </c>
      <c r="I18" s="914">
        <f>SUBTOTAL(9,I15:I17)</f>
        <v>0</v>
      </c>
      <c r="J18" s="870">
        <f>SUBTOTAL(9,J14:J17)</f>
        <v>0</v>
      </c>
      <c r="K18" s="935">
        <f t="shared" ref="K18:S18" si="4">SUBTOTAL(9,K15:K17)</f>
        <v>0</v>
      </c>
      <c r="L18" s="935">
        <f t="shared" si="4"/>
        <v>0</v>
      </c>
      <c r="M18" s="935">
        <f t="shared" si="4"/>
        <v>0</v>
      </c>
      <c r="N18" s="935">
        <f t="shared" si="4"/>
        <v>501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14469</v>
      </c>
      <c r="Z18" s="935">
        <f t="shared" si="5"/>
        <v>492</v>
      </c>
      <c r="AA18" s="935">
        <f t="shared" si="5"/>
        <v>1898</v>
      </c>
      <c r="AB18" s="935">
        <f t="shared" si="5"/>
        <v>0</v>
      </c>
      <c r="AC18" s="935">
        <f t="shared" si="5"/>
        <v>0</v>
      </c>
      <c r="AD18" s="935">
        <f t="shared" si="5"/>
        <v>0</v>
      </c>
      <c r="AE18" s="935">
        <f t="shared" si="5"/>
        <v>295</v>
      </c>
      <c r="AF18" s="935">
        <f t="shared" si="5"/>
        <v>0</v>
      </c>
      <c r="AG18" s="935">
        <f t="shared" si="5"/>
        <v>0</v>
      </c>
      <c r="AH18" s="935">
        <f t="shared" si="5"/>
        <v>0</v>
      </c>
      <c r="AI18" s="935">
        <f t="shared" si="5"/>
        <v>0</v>
      </c>
      <c r="AJ18" s="935">
        <f t="shared" si="5"/>
        <v>1379</v>
      </c>
      <c r="AK18" s="935">
        <f t="shared" si="5"/>
        <v>9195</v>
      </c>
      <c r="AL18" s="935">
        <f t="shared" si="5"/>
        <v>0</v>
      </c>
      <c r="AM18" s="935">
        <f t="shared" si="5"/>
        <v>0</v>
      </c>
      <c r="AN18" s="935">
        <f t="shared" si="5"/>
        <v>0</v>
      </c>
      <c r="AO18" s="937">
        <f>IF(ISNUMBER(((NºAsuntos!I18/NºAsuntos!G18)*11)/factor_trimestre),((NºAsuntos!I18/NºAsuntos!G18)*11)/factor_trimestre," - ")</f>
        <v>1.4429469901168015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11</v>
      </c>
      <c r="F19" s="823">
        <f t="shared" si="7"/>
        <v>1864</v>
      </c>
      <c r="G19" s="823">
        <f t="shared" si="7"/>
        <v>1917</v>
      </c>
      <c r="H19" s="824">
        <f t="shared" si="7"/>
        <v>0</v>
      </c>
      <c r="I19" s="823">
        <f t="shared" si="7"/>
        <v>0</v>
      </c>
      <c r="J19" s="825">
        <f t="shared" si="7"/>
        <v>0</v>
      </c>
      <c r="K19" s="823">
        <f t="shared" si="7"/>
        <v>0</v>
      </c>
      <c r="L19" s="826">
        <f t="shared" si="7"/>
        <v>0</v>
      </c>
      <c r="M19" s="823">
        <f t="shared" si="7"/>
        <v>0</v>
      </c>
      <c r="N19" s="824">
        <f t="shared" si="7"/>
        <v>2276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14624</v>
      </c>
      <c r="Z19" s="830">
        <f t="shared" si="8"/>
        <v>2273</v>
      </c>
      <c r="AA19" s="831">
        <f t="shared" si="8"/>
        <v>1999</v>
      </c>
      <c r="AB19" s="831">
        <f t="shared" si="8"/>
        <v>0</v>
      </c>
      <c r="AC19" s="831">
        <f t="shared" si="8"/>
        <v>0</v>
      </c>
      <c r="AD19" s="832">
        <f t="shared" si="8"/>
        <v>0</v>
      </c>
      <c r="AE19" s="832">
        <f t="shared" si="8"/>
        <v>7680</v>
      </c>
      <c r="AF19" s="833">
        <f t="shared" si="8"/>
        <v>0</v>
      </c>
      <c r="AG19" s="834">
        <f t="shared" si="8"/>
        <v>0</v>
      </c>
      <c r="AH19" s="835">
        <f t="shared" si="8"/>
        <v>0</v>
      </c>
      <c r="AI19" s="833">
        <f t="shared" si="8"/>
        <v>0</v>
      </c>
      <c r="AJ19" s="823">
        <f t="shared" si="8"/>
        <v>2974</v>
      </c>
      <c r="AK19" s="823">
        <f t="shared" si="8"/>
        <v>12364</v>
      </c>
      <c r="AL19" s="823">
        <f t="shared" si="8"/>
        <v>0</v>
      </c>
      <c r="AM19" s="836">
        <f t="shared" si="8"/>
        <v>0</v>
      </c>
      <c r="AN19" s="826">
        <f>IF(ISNUMBER(Datos!K19/Datos!J19),Datos!K19/Datos!J19," - ")</f>
        <v>0.92858694235697836</v>
      </c>
      <c r="AO19" s="826">
        <f>IF(ISNUMBER(FIND("06",Criterios!A8,1)),(IF(ISNUMBER(((Datos!R19/Datos!Q19)*11)/factor_trimestre),((Datos!R19/Datos!Q19)*11)/factor_trimestre," - ")),(IF(ISNUMBER(((Datos!L19/Datos!K19)*11)/factor_trimestre),((Datos!L19/Datos!K19)*11)/factor_trimestre," - ")))</f>
        <v>4.8045562988258412</v>
      </c>
      <c r="AP19" s="837" t="str">
        <f>IF(ISNUMBER(Datos!CI19/Datos!CJ19),Datos!CI19/Datos!CJ19," - ")</f>
        <v xml:space="preserve"> - </v>
      </c>
      <c r="AQ19" s="837">
        <f>IF(OR(ISNUMBER(FIND("01",Criterios!A8,1)),ISNUMBER(FIND("02",Criterios!A8,1)),ISNUMBER(FIND("03",Criterios!A8,1)),ISNUMBER(FIND("04",Criterios!A8,1))),(J19-Y19+K19)/(F19-K19),(I19-Y19+K19)/(F19-K19))</f>
        <v>-7.8454935622317601</v>
      </c>
      <c r="AR19" s="837">
        <f>IF(ISNUMBER((Datos!P19-Datos!Q19+O19)/(Datos!R19-Datos!P19+Datos!Q19-O19)),(Datos!P19-Datos!Q19+O19)/(Datos!R19-Datos!P19+Datos!Q19-O19)," - ")</f>
        <v>3.9077764751856197E-4</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766.8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928.37923285691818</v>
      </c>
      <c r="G21" s="555">
        <f>IF(ISNUMBER(STDEV(G8:G18)),STDEV(G8:G18),"-")</f>
        <v>816.25192189666541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719.20585833728205</v>
      </c>
      <c r="AK21" s="255"/>
      <c r="AL21" s="255">
        <f>IF(ISNUMBER(STDEV(AL8:AL18)),STDEV(AL8:AL18),"-")</f>
        <v>0</v>
      </c>
      <c r="AM21" s="257">
        <f>IF(ISNUMBER(STDEV(AM8:AM18)),STDEV(AM8:AM18),"-")</f>
        <v>0</v>
      </c>
      <c r="AN21" s="542">
        <f>IF(ISNUMBER(STDEV(AN8:AN18)),STDEV(AN8:AN18),"-")</f>
        <v>0</v>
      </c>
      <c r="AO21" s="543">
        <f>IF(ISNUMBER(STDEV(AO8:AO18)),STDEV(AO8:AO18),"-")</f>
        <v>4.8095626295707392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DhZRwEgrbaScQfZT5Bt0G4PcYLGe71cHmaqaXrT+zKnjxywCeIAt6CMLMvZO5HF4v3iHKgxhNONn7CBZ1wg6eQ==" saltValue="jYYBQYDyHjw/xbszgtW5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8sHHqUxwUnyCpamXpImMvZuMzaXAF7fgF9pwD+xivY4HhA0DQp7D9JejZ/5O58SGcJXDgtzvknLeqM1ZQKEdVg==" saltValue="I2kihM+uOKQbgGqfHA/T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v0VfYg8AcfPZkXEWT2g/bUQmCZx3AapgarDfhu+T8dzjpoZBOAcPVR6/pz5L/7CtvmKGGxzxeJT9ow/Ew2maQ==" saltValue="O4R9I2VOi7hFfaF8dYo/D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FUENGIROLA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0.21828383741617627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0.15434998166040007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BF3mD6jFdn+lCrx2HTamWdhKN1WPdHDdblf7H0IA5KAoQqrRAq6qQMBGi+KgoEfxljdJ+p9FMwsOXLtk++Ie/g==" saltValue="Yb2CQikHQwT2PN2RV8U4u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yQZSsmNw8VORVBQ7evFvHuBD5fjkhUkc7vO7HNHAFqHUF6Jf5LFCxBCAvxqeOo2NkEQreNrRDIoEgCdSQO0G9w==" saltValue="LLC/MF5aIpGNVcwgQHPp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FUENGIROLA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5602</v>
      </c>
      <c r="D9" s="407">
        <f>IF(ISNUMBER(C9/Datos!BH9),C9/Datos!BH9," - ")</f>
        <v>1120.4000000000001</v>
      </c>
      <c r="E9" s="406">
        <f>IF(ISNUMBER(IF(J_V="SI",Datos!J9,Datos!J9+Datos!Z9)),IF(J_V="SI",Datos!J9,Datos!J9+Datos!Z9)," - ")</f>
        <v>8959</v>
      </c>
      <c r="F9" s="407">
        <f>IF(ISNUMBER(E9/B9),E9/B9," - ")</f>
        <v>1791.8</v>
      </c>
      <c r="G9" s="406">
        <f>IF(ISNUMBER(IF(J_V="SI",Datos!K9,Datos!K9+Datos!AA9)),IF(J_V="SI",Datos!K9,Datos!K9+Datos!AA9)," - ")</f>
        <v>7152</v>
      </c>
      <c r="H9" s="407">
        <f>IF(ISNUMBER(G9/B9),G9/B9," - ")</f>
        <v>1430.4</v>
      </c>
      <c r="I9" s="406">
        <f>IF(ISNUMBER(IF(J_V="SI",Datos!L9,Datos!L9+Datos!AB9)),IF(J_V="SI",Datos!L9,Datos!L9+Datos!AB9)," - ")</f>
        <v>7410</v>
      </c>
      <c r="J9" s="407">
        <f>IF(ISNUMBER(I9/B9),I9/B9," - ")</f>
        <v>1482</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117</v>
      </c>
      <c r="D10" s="407">
        <f>IF(ISNUMBER(C10/Datos!BH10),C10/Datos!BH10," - ")</f>
        <v>117</v>
      </c>
      <c r="E10" s="406">
        <f>IF(ISNUMBER(Datos!J10),Datos!J10," - ")</f>
        <v>128</v>
      </c>
      <c r="F10" s="407">
        <f>IF(ISNUMBER(E10/B10),E10/B10," - ")</f>
        <v>128</v>
      </c>
      <c r="G10" s="406">
        <f>IF(ISNUMBER(Datos!K10),Datos!K10," - ")</f>
        <v>155</v>
      </c>
      <c r="H10" s="407">
        <f>IF(ISNUMBER(G10/B10),G10/B10," - ")</f>
        <v>155</v>
      </c>
      <c r="I10" s="406">
        <f>IF(ISNUMBER(Datos!L10),Datos!L10," - ")</f>
        <v>101</v>
      </c>
      <c r="J10" s="407">
        <f>IF(ISNUMBER(I10/B10),I10/B10," - ")</f>
        <v>101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5719</v>
      </c>
      <c r="D13" s="853" t="str">
        <f>IF(ISNUMBER(C13/Datos!BI13),C13/Datos!BI13," - ")</f>
        <v xml:space="preserve"> - </v>
      </c>
      <c r="E13" s="852">
        <f>SUBTOTAL(9,E8:E12)</f>
        <v>9087</v>
      </c>
      <c r="F13" s="853">
        <f>IF(ISNUMBER(E13/B13),E13/B13," - ")</f>
        <v>1514.5</v>
      </c>
      <c r="G13" s="852">
        <f>SUBTOTAL(9,G8:G12)</f>
        <v>7307</v>
      </c>
      <c r="H13" s="853">
        <f>IF(ISNUMBER(G13/B13),G13/B13," - ")</f>
        <v>1217.8333333333333</v>
      </c>
      <c r="I13" s="852">
        <f>SUBTOTAL(9,I8:I12)</f>
        <v>7511</v>
      </c>
      <c r="J13" s="853">
        <f>IF(ISNUMBER(I13/B13),I13/B13," - ")</f>
        <v>1251.8333333333333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1499</v>
      </c>
      <c r="D15" s="407">
        <f>IF(ISNUMBER(C15/Datos!BH15),C15/Datos!BH15," - ")</f>
        <v>374.75</v>
      </c>
      <c r="E15" s="406">
        <f>IF(ISNUMBER(IF(D_I="SI",Datos!J15,Datos!J15+Datos!AD15)),IF(D_I="SI",Datos!J15,Datos!J15+Datos!AD15)," - ")</f>
        <v>13200</v>
      </c>
      <c r="F15" s="407">
        <f>IF(ISNUMBER(E15/B15),E15/B15," - ")</f>
        <v>3300</v>
      </c>
      <c r="G15" s="406">
        <f>IF(ISNUMBER(IF(D_I="SI",Datos!K15,Datos!K15+Datos!AE15)),IF(D_I="SI",Datos!K15,Datos!K15+Datos!AE15)," - ")</f>
        <v>13268</v>
      </c>
      <c r="H15" s="407">
        <f>IF(ISNUMBER(G15/B15),G15/B15," - ")</f>
        <v>3317</v>
      </c>
      <c r="I15" s="406">
        <f>IF(ISNUMBER(IF(D_I="SI",Datos!L15,Datos!L15+Datos!AF15)),IF(D_I="SI",Datos!L15,Datos!L15+Datos!AF15)," - ")</f>
        <v>1668</v>
      </c>
      <c r="J15" s="407">
        <f>IF(ISNUMBER(I15/B15),I15/B15," - ")</f>
        <v>417</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301</v>
      </c>
      <c r="D17" s="407">
        <f>IF(ISNUMBER(C17/Datos!BH17),C17/Datos!BH17," - ")</f>
        <v>301</v>
      </c>
      <c r="E17" s="406">
        <f>IF(ISNUMBER(IF(D_I="SI",Datos!J17,Datos!J17+Datos!AD17)),IF(D_I="SI",Datos!J17,Datos!J17+Datos!AD17)," - ")</f>
        <v>1124</v>
      </c>
      <c r="F17" s="407">
        <f>IF(ISNUMBER(E17/B17),E17/B17," - ")</f>
        <v>1124</v>
      </c>
      <c r="G17" s="406">
        <f>IF(ISNUMBER(IF(D_I="SI",Datos!K17,Datos!K17+Datos!AE17)),IF(D_I="SI",Datos!K17,Datos!K17+Datos!AE17)," - ")</f>
        <v>1201</v>
      </c>
      <c r="H17" s="407">
        <f>IF(ISNUMBER(G17/B17),G17/B17," - ")</f>
        <v>1201</v>
      </c>
      <c r="I17" s="406">
        <f>IF(ISNUMBER(IF(D_I="SI",Datos!L17,Datos!L17+Datos!AF17)),IF(D_I="SI",Datos!L17,Datos!L17+Datos!AF17)," - ")</f>
        <v>230</v>
      </c>
      <c r="J17" s="407">
        <f>IF(ISNUMBER(I17/B17),I17/B17," - ")</f>
        <v>230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1800</v>
      </c>
      <c r="D18" s="853" t="str">
        <f>IF(ISNUMBER(C18/Datos!BI18),C18/Datos!BI18," - ")</f>
        <v xml:space="preserve"> - </v>
      </c>
      <c r="E18" s="852">
        <f>SUBTOTAL(9,E14:E17)</f>
        <v>14324</v>
      </c>
      <c r="F18" s="853">
        <f>IF(ISNUMBER(E18/B18),E18/B18," - ")</f>
        <v>2864.8</v>
      </c>
      <c r="G18" s="852">
        <f>SUBTOTAL(9,G14:G17)</f>
        <v>14469</v>
      </c>
      <c r="H18" s="853">
        <f>IF(ISNUMBER(G18/B18),G18/B18," - ")</f>
        <v>2893.8</v>
      </c>
      <c r="I18" s="852">
        <f>SUBTOTAL(9,I14:I17)</f>
        <v>1898</v>
      </c>
      <c r="J18" s="853">
        <f>IF(ISNUMBER(I18/B18),I18/B18," - ")</f>
        <v>379.6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10</v>
      </c>
      <c r="C19" s="797">
        <f>SUBTOTAL(9,C9:C18)</f>
        <v>7519</v>
      </c>
      <c r="D19" s="798" t="str">
        <f>IF(ISNUMBER(C19/Datos!BI19),C19/Datos!BI19," - ")</f>
        <v xml:space="preserve"> - </v>
      </c>
      <c r="E19" s="797">
        <f>SUBTOTAL(9,E9:E18)</f>
        <v>23411</v>
      </c>
      <c r="F19" s="798">
        <f>IF(ISNUMBER(E19/B19),E19/B19," - ")</f>
        <v>2341.1</v>
      </c>
      <c r="G19" s="797">
        <f>SUBTOTAL(9,G9:G18)</f>
        <v>21776</v>
      </c>
      <c r="H19" s="798">
        <f>IF(ISNUMBER(G19/B19),G19/B19," - ")</f>
        <v>2177.6</v>
      </c>
      <c r="I19" s="797">
        <f>SUBTOTAL(9,I9:I18)</f>
        <v>9409</v>
      </c>
      <c r="J19" s="798">
        <f>IF(ISNUMBER(I19/B19),I19/B19," - ")</f>
        <v>940.9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YxO8SKouxIWwo77TRMcivI/mx4+Eber6VkZv84giPPGdfn/BMCd4zSHi5GSpzcH+vZ/JVXMgxktuouwbh4cdnA==" saltValue="aLaX6RDdkCLU/BYxPmQd9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FUENGIROLA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246</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128</v>
      </c>
      <c r="G10" s="687">
        <f>IF(ISNUMBER(Datos!I10),Datos!I10," - ")</f>
        <v>117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155</v>
      </c>
      <c r="AC10" s="686" t="str">
        <f>IF(ISNUMBER(IF(D_I="SI",DatosP!K17,DatosP!K17+DatosP!AE17)),IF(D_I="SI",DatosP!K17,DatosP!K17+DatosP!AE17)," - ")</f>
        <v xml:space="preserve"> - </v>
      </c>
      <c r="AD10" s="688"/>
      <c r="AE10" s="688"/>
      <c r="AF10" s="691">
        <f>IF(ISNUMBER(Datos!L10),Datos!L10,"-")</f>
        <v>101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55</v>
      </c>
      <c r="AM10" s="693">
        <f>IF(ISNUMBER(Datos!N10+DatosP!N17),Datos!N10+DatosP!N17," - ")</f>
        <v>71</v>
      </c>
      <c r="AN10" s="693">
        <f>IF(ISNUMBER(Datos!BW10+DatosP!BW17),Datos!BW10+DatosP!BW17," - ")</f>
        <v>0</v>
      </c>
      <c r="AO10" s="694">
        <f>IF(ISNUMBER(Datos!BX10+DatosP!BX17),Datos!BX10+DatosP!BX17," - ")</f>
        <v>0</v>
      </c>
      <c r="AP10" s="696">
        <f>IF(ISNUMBER(((Datos!L10/Datos!K10)*11)/factor_trimestre),((Datos!L10/Datos!K10)*11)/factor_trimestre," - ")</f>
        <v>7.1677419354838712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128</v>
      </c>
      <c r="G13" s="941">
        <f t="shared" si="0"/>
        <v>117</v>
      </c>
      <c r="H13" s="941">
        <f t="shared" si="0"/>
        <v>0</v>
      </c>
      <c r="I13" s="943">
        <f t="shared" si="0"/>
        <v>0</v>
      </c>
      <c r="J13" s="942">
        <f t="shared" si="0"/>
        <v>0</v>
      </c>
      <c r="K13" s="942">
        <f t="shared" si="0"/>
        <v>0</v>
      </c>
      <c r="L13" s="944">
        <f t="shared" si="0"/>
        <v>0</v>
      </c>
      <c r="M13" s="944">
        <f t="shared" si="0"/>
        <v>0</v>
      </c>
      <c r="N13" s="942">
        <f t="shared" si="0"/>
        <v>24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155</v>
      </c>
      <c r="AC13" s="942">
        <f t="shared" si="1"/>
        <v>0</v>
      </c>
      <c r="AD13" s="942">
        <f t="shared" si="1"/>
        <v>0</v>
      </c>
      <c r="AE13" s="942">
        <f t="shared" si="1"/>
        <v>0</v>
      </c>
      <c r="AF13" s="942">
        <f t="shared" si="1"/>
        <v>101</v>
      </c>
      <c r="AG13" s="942">
        <f t="shared" si="1"/>
        <v>0</v>
      </c>
      <c r="AH13" s="942">
        <f t="shared" si="1"/>
        <v>0</v>
      </c>
      <c r="AI13" s="942">
        <f t="shared" si="1"/>
        <v>0</v>
      </c>
      <c r="AJ13" s="942">
        <f t="shared" si="1"/>
        <v>0</v>
      </c>
      <c r="AK13" s="942">
        <f t="shared" si="1"/>
        <v>0</v>
      </c>
      <c r="AL13" s="942">
        <f t="shared" si="1"/>
        <v>55</v>
      </c>
      <c r="AM13" s="942">
        <f t="shared" si="1"/>
        <v>71</v>
      </c>
      <c r="AN13" s="942">
        <f t="shared" si="1"/>
        <v>0</v>
      </c>
      <c r="AO13" s="942">
        <f t="shared" si="1"/>
        <v>0</v>
      </c>
      <c r="AP13" s="947">
        <f>IF(ISNUMBER(((Datos!L13/Datos!K13)*11)/factor_trimestre),((Datos!L13/Datos!K13)*11)/factor_trimestre," - ")</f>
        <v>11.845541401273886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-1.2109375</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1.4429469901168015</v>
      </c>
      <c r="AQ18" s="947">
        <f>IF(ISNUMBER(((Datos!M18/Datos!L18)*11)/factor_trimestre),((Datos!M18/Datos!L18)*11)/factor_trimestre," - ")</f>
        <v>7.9920969441517391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3.1468531468531472E-2</v>
      </c>
      <c r="AW18" s="949">
        <f>IF(ISNUMBER((Datos!Q18-Datos!R18)/(Datos!S18-Datos!Q18+Datos!R18)),(Datos!Q18-Datos!R18)/(Datos!S18-Datos!Q18+Datos!R18)," - ")</f>
        <v>0.16042345276872963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128</v>
      </c>
      <c r="G19" s="954">
        <f t="shared" si="4"/>
        <v>117</v>
      </c>
      <c r="H19" s="954">
        <f t="shared" si="4"/>
        <v>0</v>
      </c>
      <c r="I19" s="955">
        <f t="shared" si="4"/>
        <v>0</v>
      </c>
      <c r="J19" s="956">
        <f t="shared" si="4"/>
        <v>0</v>
      </c>
      <c r="K19" s="956">
        <f t="shared" si="4"/>
        <v>0</v>
      </c>
      <c r="L19" s="956">
        <f t="shared" si="4"/>
        <v>0</v>
      </c>
      <c r="M19" s="956">
        <f t="shared" si="4"/>
        <v>0</v>
      </c>
      <c r="N19" s="955">
        <f t="shared" si="4"/>
        <v>24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155</v>
      </c>
      <c r="AC19" s="960">
        <f t="shared" si="5"/>
        <v>0</v>
      </c>
      <c r="AD19" s="960">
        <f t="shared" si="5"/>
        <v>0</v>
      </c>
      <c r="AE19" s="960">
        <f t="shared" si="5"/>
        <v>0</v>
      </c>
      <c r="AF19" s="961">
        <f t="shared" si="5"/>
        <v>101</v>
      </c>
      <c r="AG19" s="961">
        <f t="shared" si="5"/>
        <v>0</v>
      </c>
      <c r="AH19" s="961">
        <f t="shared" si="5"/>
        <v>0</v>
      </c>
      <c r="AI19" s="961">
        <f t="shared" si="5"/>
        <v>0</v>
      </c>
      <c r="AJ19" s="962">
        <f t="shared" si="5"/>
        <v>0</v>
      </c>
      <c r="AK19" s="962">
        <f t="shared" si="5"/>
        <v>0</v>
      </c>
      <c r="AL19" s="954">
        <f t="shared" si="5"/>
        <v>55</v>
      </c>
      <c r="AM19" s="954">
        <f t="shared" si="5"/>
        <v>71</v>
      </c>
      <c r="AN19" s="954">
        <f t="shared" si="5"/>
        <v>0</v>
      </c>
      <c r="AO19" s="954">
        <f t="shared" si="5"/>
        <v>0</v>
      </c>
      <c r="AP19" s="954">
        <f>IF(ISNUMBER(((Datos!L19/Datos!K19)*11)/factor_trimestre),((Datos!L19/Datos!K19)*11)/factor_trimestre," - ")</f>
        <v>4.8045562988258412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-1.2109375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3.9077764751856197E-4</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2.7568097504180442</v>
      </c>
      <c r="F21" s="739">
        <f>IF(ISNUMBER(STDEV(F8:F18)),STDEV(F8:F18),"-")</f>
        <v>73.900834456272108</v>
      </c>
      <c r="G21" s="740">
        <f>IF(ISNUMBER(STDEV(G8:G18)),STDEV(G8:G18),"-")</f>
        <v>67.549981495186216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89.489291724392004</v>
      </c>
      <c r="AC21" s="741">
        <f>IF(ISNUMBER(STDEV(AC8:AC18)),STDEV(AC8:AC18),"-")</f>
        <v>0</v>
      </c>
      <c r="AD21" s="744"/>
      <c r="AE21" s="744"/>
      <c r="AF21" s="744"/>
      <c r="AG21" s="744"/>
      <c r="AH21" s="744"/>
      <c r="AI21" s="744"/>
      <c r="AJ21" s="745">
        <f>IF(ISNUMBER(STDEV(AJ8:AJ18)),STDEV(AJ8:AJ18),"-")</f>
        <v>0</v>
      </c>
      <c r="AK21" s="747"/>
      <c r="AL21" s="739">
        <f>IF(ISNUMBER(STDEV(AL8:AL18)),STDEV(AL8:AL18),"-")</f>
        <v>31.754264805429415</v>
      </c>
      <c r="AM21" s="739"/>
      <c r="AN21" s="739">
        <f>IF(ISNUMBER(STDEV(AN8:AN18)),STDEV(AN8:AN18),"-")</f>
        <v>0</v>
      </c>
      <c r="AO21" s="745">
        <f>IF(ISNUMBER(STDEV(AO8:AO18)),STDEV(AO8:AO18),"-")</f>
        <v>0</v>
      </c>
      <c r="AP21" s="782">
        <f>IF(ISNUMBER(STDEV(AP8:AP18)),STDEV(AP8:AP18),"-")</f>
        <v>5.2100712645747018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RpH/ObDgCFBBSVPmHODvmPILOpWM68scWXQF7NSoBXU1JKFfu1LldL2Av5lWAAtY78vplvPG7aRdRtXMc697Jg==" saltValue="abgB5l1RVCDhCNsLy9gLR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MALAGA</v>
      </c>
      <c r="C3" s="418"/>
      <c r="F3" s="378"/>
      <c r="G3" s="378"/>
      <c r="H3" s="378"/>
    </row>
    <row r="4" spans="1:15" ht="13.5" thickBot="1">
      <c r="A4" s="378"/>
      <c r="B4" s="394" t="str">
        <f>Criterios!A11 &amp;"  "&amp;Criterios!B11</f>
        <v>Resumenes por Partidos Judiciales  FUENGIROLA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gKe4SbYL67elmPrVmC+rsG+fyb/GQLQVyEhvzpcypRpdf2Fwo//1ldQI1ViWqBgGhQMZ7OizQKIw8rSFY+Y+iQ==" saltValue="jmh6tUlG94WT2F8HU3Ob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FUENGIROLA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1540</v>
      </c>
      <c r="E9" s="407">
        <f t="shared" ref="E9:E13" si="0">IF(ISNUMBER(D9/B9),D9/B9," - ")</f>
        <v>308</v>
      </c>
      <c r="F9" s="406">
        <f>IF(ISNUMBER(Datos!N9),Datos!N9," - ")</f>
        <v>3098</v>
      </c>
      <c r="G9" s="407">
        <f t="shared" ref="G9:G13" si="1">IF(ISNUMBER(F9/B9),F9/B9," - ")</f>
        <v>619.6</v>
      </c>
      <c r="H9" s="406">
        <f>IF(ISNUMBER(Datos!O9),Datos!O9," - ")</f>
        <v>3280</v>
      </c>
      <c r="I9" s="407">
        <f>IF(ISNUMBER(H9/B9),H9/B9," - ")</f>
        <v>656</v>
      </c>
    </row>
    <row r="10" spans="1:9">
      <c r="A10" s="405" t="str">
        <f>Datos!A10</f>
        <v>Jdos. Violencia contra la mujer</v>
      </c>
      <c r="B10" s="430">
        <f>Datos!AO10</f>
        <v>1</v>
      </c>
      <c r="C10" s="413">
        <f>Datos!AQ10</f>
        <v>1</v>
      </c>
      <c r="D10" s="406">
        <f>IF(ISNUMBER(Datos!M10),Datos!M10," - ")</f>
        <v>55</v>
      </c>
      <c r="E10" s="407">
        <f>IF(ISNUMBER(D10/B10),D10/B10," - ")</f>
        <v>55</v>
      </c>
      <c r="F10" s="406">
        <f>IF(ISNUMBER(Datos!N10),Datos!N10," - ")</f>
        <v>71</v>
      </c>
      <c r="G10" s="407">
        <f>IF(ISNUMBER(F10/B10),F10/B10," - ")</f>
        <v>71</v>
      </c>
      <c r="H10" s="406">
        <f>IF(ISNUMBER(Datos!O10),Datos!O10," - ")</f>
        <v>44</v>
      </c>
      <c r="I10" s="407">
        <f t="shared" ref="I10:I12" si="2">IF(ISNUMBER(H10/B10),H10/B10," - ")</f>
        <v>44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6</v>
      </c>
      <c r="C13" s="854">
        <f>Datos!AR13</f>
        <v>6</v>
      </c>
      <c r="D13" s="852">
        <f>SUBTOTAL(9,D9:D12)</f>
        <v>1595</v>
      </c>
      <c r="E13" s="853">
        <f t="shared" si="0"/>
        <v>265.83333333333331</v>
      </c>
      <c r="F13" s="852">
        <f>SUBTOTAL(9,F9:F12)</f>
        <v>3169</v>
      </c>
      <c r="G13" s="853">
        <f t="shared" si="1"/>
        <v>528.16666666666663</v>
      </c>
      <c r="H13" s="852">
        <f>SUBTOTAL(9,H9:H12)</f>
        <v>3324</v>
      </c>
      <c r="I13" s="853">
        <f>IF(ISNUMBER(H13/B13),H13/B13," - ")</f>
        <v>554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1286</v>
      </c>
      <c r="E15" s="407">
        <f t="shared" ref="E15:E18" si="3">IF(ISNUMBER(D15/B15),D15/B15," - ")</f>
        <v>321.5</v>
      </c>
      <c r="F15" s="406">
        <f>IF(ISNUMBER(Datos!N15),Datos!N15," - ")</f>
        <v>8455</v>
      </c>
      <c r="G15" s="407">
        <f t="shared" ref="G15:G18" si="4">IF(ISNUMBER(F15/B15),F15/B15," - ")</f>
        <v>2113.75</v>
      </c>
      <c r="H15" s="406">
        <f>IF(ISNUMBER(Datos!O15),Datos!O15," - ")</f>
        <v>408</v>
      </c>
      <c r="I15" s="407">
        <f t="shared" ref="I15:I17" si="5">IF(ISNUMBER(H15/B15),H15/B15," - ")</f>
        <v>102</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93</v>
      </c>
      <c r="E17" s="407">
        <f>IF(ISNUMBER(D17/B17),D17/B17," - ")</f>
        <v>93</v>
      </c>
      <c r="F17" s="406">
        <f>IF(ISNUMBER(Datos!N17),Datos!N17," - ")</f>
        <v>740</v>
      </c>
      <c r="G17" s="407">
        <f>IF(ISNUMBER(F17/B17),F17/B17," - ")</f>
        <v>740</v>
      </c>
      <c r="H17" s="406">
        <f>IF(ISNUMBER(Datos!O17),Datos!O17," - ")</f>
        <v>0</v>
      </c>
      <c r="I17" s="407">
        <f t="shared" si="5"/>
        <v>0</v>
      </c>
    </row>
    <row r="18" spans="1:9" ht="14.25" thickTop="1" thickBot="1">
      <c r="A18" s="851" t="str">
        <f>Datos!A18</f>
        <v>TOTAL</v>
      </c>
      <c r="B18" s="852">
        <f>Datos!AO18</f>
        <v>5</v>
      </c>
      <c r="C18" s="854">
        <f>Datos!AR18</f>
        <v>5</v>
      </c>
      <c r="D18" s="852">
        <f>SUBTOTAL(9,D15:D17)</f>
        <v>1379</v>
      </c>
      <c r="E18" s="853">
        <f t="shared" si="3"/>
        <v>275.8</v>
      </c>
      <c r="F18" s="852">
        <f>SUBTOTAL(9,F15:F17)</f>
        <v>9195</v>
      </c>
      <c r="G18" s="853">
        <f t="shared" si="4"/>
        <v>1839</v>
      </c>
      <c r="H18" s="852">
        <f>SUBTOTAL(9,H15:H17)</f>
        <v>408</v>
      </c>
      <c r="I18" s="853">
        <f>IF(ISNUMBER(H18/B18),H18/B18," - ")</f>
        <v>81.599999999999994</v>
      </c>
    </row>
    <row r="19" spans="1:9" ht="14.25" thickTop="1" thickBot="1">
      <c r="A19" s="796" t="str">
        <f>Datos!A19</f>
        <v>TOTAL JURISDICCIONES</v>
      </c>
      <c r="B19" s="797">
        <f>Datos!AP19</f>
        <v>10</v>
      </c>
      <c r="C19" s="797">
        <f>Datos!AR19</f>
        <v>10</v>
      </c>
      <c r="D19" s="797">
        <f>SUBTOTAL(9,D8:D18)</f>
        <v>2974</v>
      </c>
      <c r="E19" s="798">
        <f>IF(ISNUMBER(D19/B19),D19/B19," - ")</f>
        <v>297.39999999999998</v>
      </c>
      <c r="F19" s="797">
        <f>SUBTOTAL(9,F8:F18)</f>
        <v>12364</v>
      </c>
      <c r="G19" s="798">
        <f>IF(ISNUMBER(F19/B19),F19/B19," - ")</f>
        <v>1236.4000000000001</v>
      </c>
      <c r="H19" s="797">
        <f>SUBTOTAL(9,H8:H18)</f>
        <v>3732</v>
      </c>
      <c r="I19" s="798">
        <f>IF(ISNUMBER(H19/B19),H19/B19," - ")</f>
        <v>373.2</v>
      </c>
    </row>
    <row r="22" spans="1:9">
      <c r="A22" s="394" t="str">
        <f>Criterios!A4</f>
        <v>Fecha Informe: 03 may. 2024</v>
      </c>
    </row>
    <row r="27" spans="1:9">
      <c r="A27" s="417"/>
    </row>
  </sheetData>
  <sheetProtection algorithmName="SHA-512" hashValue="LN8MYnNMojEzQmpXVMiL9d9d9UqiYTL2H4kbRQ1u1Q3ncNKix1xd19XaGjR8Q3A9Qm3aLKXImY2Mj7J2UXVJ5g==" saltValue="eC1P2wAVYcsPXbYrK8ur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FUENGIROLA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1751</v>
      </c>
      <c r="C9" s="437">
        <f>IF(ISNUMBER(Datos!Q9),Datos!Q9," - ")</f>
        <v>1761</v>
      </c>
      <c r="D9" s="411">
        <f>IF(ISNUMBER(Datos!R9),Datos!R9," - ")</f>
        <v>7300</v>
      </c>
    </row>
    <row r="10" spans="1:4">
      <c r="A10" s="405" t="str">
        <f>Datos!A10</f>
        <v>Jdos. Violencia contra la mujer</v>
      </c>
      <c r="B10" s="436">
        <f>IF(ISNUMBER(Datos!P10),Datos!P10," - ")</f>
        <v>24</v>
      </c>
      <c r="C10" s="437">
        <f>IF(ISNUMBER(Datos!Q10),Datos!Q10," - ")</f>
        <v>20</v>
      </c>
      <c r="D10" s="411">
        <f>IF(ISNUMBER(Datos!R10),Datos!R10," - ")</f>
        <v>85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1775</v>
      </c>
      <c r="C13" s="856">
        <f>SUBTOTAL(9,C9:C12)</f>
        <v>1781</v>
      </c>
      <c r="D13" s="854">
        <f>SUBTOTAL(9,D9:D12)</f>
        <v>7385</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498</v>
      </c>
      <c r="C15" s="437">
        <f>IF(ISNUMBER(Datos!Q15),Datos!Q15," - ")</f>
        <v>490</v>
      </c>
      <c r="D15" s="411">
        <f>IF(ISNUMBER(Datos!R15),Datos!R15," - ")</f>
        <v>290</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3</v>
      </c>
      <c r="C17" s="437">
        <f>IF(ISNUMBER(Datos!Q17),Datos!Q17," - ")</f>
        <v>2</v>
      </c>
      <c r="D17" s="411">
        <f>IF(ISNUMBER(Datos!R17),Datos!R17," - ")</f>
        <v>5</v>
      </c>
    </row>
    <row r="18" spans="1:4" ht="14.25" thickTop="1" thickBot="1">
      <c r="A18" s="851" t="str">
        <f>Datos!A18</f>
        <v>TOTAL</v>
      </c>
      <c r="B18" s="852">
        <f>SUBTOTAL(9,B15:B17)</f>
        <v>501</v>
      </c>
      <c r="C18" s="856">
        <f>SUBTOTAL(9,C15:C17)</f>
        <v>492</v>
      </c>
      <c r="D18" s="854">
        <f>SUBTOTAL(9,D15:D17)</f>
        <v>295</v>
      </c>
    </row>
    <row r="19" spans="1:4" ht="16.5" customHeight="1" thickTop="1" thickBot="1">
      <c r="A19" s="796" t="str">
        <f>Datos!A19</f>
        <v>TOTAL JURISDICCIONES</v>
      </c>
      <c r="B19" s="801">
        <f>SUBTOTAL(9,B8:B18)</f>
        <v>2276</v>
      </c>
      <c r="C19" s="802">
        <f>SUBTOTAL(9,C8:C18)</f>
        <v>2273</v>
      </c>
      <c r="D19" s="803">
        <f>SUBTOTAL(9,D8:D18)</f>
        <v>7680</v>
      </c>
    </row>
    <row r="20" spans="1:4" ht="7.5" customHeight="1"/>
    <row r="21" spans="1:4" ht="6" customHeight="1"/>
    <row r="22" spans="1:4">
      <c r="A22" s="394" t="str">
        <f>Criterios!A4</f>
        <v>Fecha Informe: 03 may. 2024</v>
      </c>
    </row>
    <row r="27" spans="1:4">
      <c r="A27" s="417"/>
    </row>
  </sheetData>
  <sheetProtection algorithmName="SHA-512" hashValue="kNl4yyea7bmnqpWzkk9USl6KqgyXCW8EjFCecYEDUebBiELECZIakqovG1NGm51dxfJyRb3VUwdD+pbvkWR1Yg==" saltValue="PVnmSfcM4jEK3WV/7KEo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FUENGIROLA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0.15576645347637713</v>
      </c>
      <c r="C9" s="459">
        <f>IF(ISNUMBER(
   IF(J_V="SI",(Datos!J9-Datos!T9)/Datos!T9,(Datos!J9+Datos!Z9-(Datos!T9+Datos!AH9))/(Datos!T9+Datos!AH9))
     ),IF(J_V="SI",(Datos!J9-Datos!T9)/Datos!T9,(Datos!J9+Datos!Z9-(Datos!T9+Datos!AH9))/(Datos!T9+Datos!AH9))," - ")</f>
        <v>4.3807526505883723E-2</v>
      </c>
      <c r="D9" s="459">
        <f>IF(ISNUMBER(
   IF(J_V="SI",(Datos!K9-Datos!U9)/Datos!U9,(Datos!K9+Datos!AA9-(Datos!U9+Datos!AI9))/(Datos!U9+Datos!AI9))
     ),IF(J_V="SI",(Datos!K9-Datos!U9)/Datos!U9,(Datos!K9+Datos!AA9-(Datos!U9+Datos!AI9))/(Datos!U9+Datos!AI9))," - ")</f>
        <v>-0.12040339441643094</v>
      </c>
      <c r="E9" s="459">
        <f>IF(ISNUMBER(
   IF(J_V="SI",(Datos!L9-Datos!V9)/Datos!V9,(Datos!L9+Datos!AB9-(Datos!V9+Datos!AJ9))/(Datos!V9+Datos!AJ9))
     ),IF(J_V="SI",(Datos!L9-Datos!V9)/Datos!V9,(Datos!L9+Datos!AB9-(Datos!V9+Datos!AJ9))/(Datos!V9+Datos!AJ9))," - ")</f>
        <v>0.32274187790074971</v>
      </c>
      <c r="F9" s="459">
        <f>IF(ISNUMBER((Datos!M9-Datos!W9)/Datos!W9),(Datos!M9-Datos!W9)/Datos!W9," - ")</f>
        <v>-0.13288288288288289</v>
      </c>
      <c r="G9" s="460">
        <f>IF(ISNUMBER((Datos!N9-Datos!X9)/Datos!X9),(Datos!N9-Datos!X9)/Datos!X9," - ")</f>
        <v>-6.9948964274992489E-2</v>
      </c>
      <c r="H9" s="458">
        <f>IF(ISNUMBER(((NºAsuntos!G9/NºAsuntos!E9)-Datos!BD9)/Datos!BD9),((NºAsuntos!G9/NºAsuntos!E9)-Datos!BD9)/Datos!BD9," - ")</f>
        <v>-0.1573191577493277</v>
      </c>
      <c r="I9" s="459">
        <f>IF(ISNUMBER(((NºAsuntos!I9/NºAsuntos!G9)-Datos!BE9)/Datos!BE9),((NºAsuntos!I9/NºAsuntos!G9)-Datos!BE9)/Datos!BE9," - ")</f>
        <v>0.50380511873755529</v>
      </c>
      <c r="J9" s="464">
        <f>IF(ISNUMBER((('Resol  Asuntos'!D9/NºAsuntos!G9)-Datos!BF9)/Datos!BF9),(('Resol  Asuntos'!D9/NºAsuntos!G9)-Datos!BF9)/Datos!BF9," - ")</f>
        <v>-0.47439130209938901</v>
      </c>
      <c r="K9" s="465">
        <f>IF(ISNUMBER((((NºAsuntos!C9+NºAsuntos!E9)/NºAsuntos!G9)-Datos!BG9)/Datos!BG9),(((NºAsuntos!C9+NºAsuntos!E9)/NºAsuntos!G9)-Datos!BG9)/Datos!BG9," - ")</f>
        <v>0.23262690918691845</v>
      </c>
    </row>
    <row r="10" spans="1:11">
      <c r="A10" s="405" t="str">
        <f>Datos!A10</f>
        <v>Jdos. Violencia contra la mujer</v>
      </c>
      <c r="B10" s="458">
        <f>IF(ISNUMBER((Datos!I10-Datos!S10)/Datos!S10),(Datos!I10-Datos!S10)/Datos!S10," - ")</f>
        <v>0.17</v>
      </c>
      <c r="C10" s="459">
        <f>IF(ISNUMBER((Datos!J10-Datos!T10)/Datos!T10),(Datos!J10-Datos!T10)/Datos!T10," - ")</f>
        <v>-0.19496855345911951</v>
      </c>
      <c r="D10" s="459">
        <f>IF(ISNUMBER((Datos!K10-Datos!U10)/Datos!U10),(Datos!K10-Datos!U10)/Datos!U10," - ")</f>
        <v>0.2109375</v>
      </c>
      <c r="E10" s="459">
        <f>IF(ISNUMBER((Datos!L10-Datos!V10)/Datos!V10),(Datos!L10-Datos!V10)/Datos!V10," - ")</f>
        <v>-0.13675213675213677</v>
      </c>
      <c r="F10" s="459">
        <f>IF(ISNUMBER((Datos!M10-Datos!W10)/Datos!W10),(Datos!M10-Datos!W10)/Datos!W10," - ")</f>
        <v>0.25</v>
      </c>
      <c r="G10" s="460">
        <f>IF(ISNUMBER((Datos!N10-Datos!X10)/Datos!X10),(Datos!N10-Datos!X10)/Datos!X10," - ")</f>
        <v>0.18333333333333332</v>
      </c>
      <c r="H10" s="458">
        <f>IF(ISNUMBER(((NºAsuntos!G10/NºAsuntos!E10)-Datos!BD10)/Datos!BD10),((NºAsuntos!G10/NºAsuntos!E10)-Datos!BD10)/Datos!BD10," - ")</f>
        <v>0.50421142578124989</v>
      </c>
      <c r="I10" s="459">
        <f>IF(ISNUMBER(((NºAsuntos!I10/NºAsuntos!G10)-Datos!BE10)/Datos!BE10),((NºAsuntos!I10/NºAsuntos!G10)-Datos!BE10)/Datos!BE10," - ")</f>
        <v>-0.28712434518886132</v>
      </c>
      <c r="J10" s="464">
        <f>IF(ISNUMBER((('Resol  Asuntos'!D10/NºAsuntos!G10)-Datos!BF10)/Datos!BF10),(('Resol  Asuntos'!D10/NºAsuntos!G10)-Datos!BF10)/Datos!BF10," - ")</f>
        <v>3.2258064516129087E-2</v>
      </c>
      <c r="K10" s="465">
        <f>IF(ISNUMBER((((NºAsuntos!C10+NºAsuntos!E10)/NºAsuntos!G10)-Datos!BG10)/Datos!BG10),(((NºAsuntos!C10+NºAsuntos!E10)/NºAsuntos!G10)-Datos!BG10)/Datos!BG10," - ")</f>
        <v>-0.21883173496076724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0.1560541742470184</v>
      </c>
      <c r="C13" s="858">
        <f>IF(ISNUMBER(
   IF(J_V="SI",(Datos!J13-Datos!T13)/Datos!T13,(Datos!J13+Datos!Z13-(Datos!T13+Datos!AH13))/(Datos!T13+Datos!AH13))
     ),IF(J_V="SI",(Datos!J13-Datos!T13)/Datos!T13,(Datos!J13+Datos!Z13-(Datos!T13+Datos!AH13))/(Datos!T13+Datos!AH13))," - ")</f>
        <v>3.9464653397391899E-2</v>
      </c>
      <c r="D13" s="858">
        <f>IF(ISNUMBER(
   IF(J_V="SI",(Datos!K13-Datos!U13)/Datos!U13,(Datos!K13+Datos!AA13-(Datos!U13+Datos!AI13))/(Datos!U13+Datos!AI13))
     ),IF(J_V="SI",(Datos!K13-Datos!U13)/Datos!U13,(Datos!K13+Datos!AA13-(Datos!U13+Datos!AI13))/(Datos!U13+Datos!AI13))," - ")</f>
        <v>-0.11526819227509384</v>
      </c>
      <c r="E13" s="858">
        <f>IF(ISNUMBER(
   IF(J_V="SI",(Datos!L13-Datos!V13)/Datos!V13,(Datos!L13+Datos!AB13-(Datos!V13+Datos!AJ13))/(Datos!V13+Datos!AJ13))
     ),IF(J_V="SI",(Datos!L13-Datos!V13)/Datos!V13,(Datos!L13+Datos!AB13-(Datos!V13+Datos!AJ13))/(Datos!V13+Datos!AJ13))," - ")</f>
        <v>0.31334149326805383</v>
      </c>
      <c r="F13" s="859">
        <f>IF(ISNUMBER((Datos!M13-Datos!W13)/Datos!W13),(Datos!M13-Datos!W13)/Datos!W13," - ")</f>
        <v>-0.12362637362637363</v>
      </c>
      <c r="G13" s="860">
        <f>IF(ISNUMBER((Datos!N13-Datos!X13)/Datos!X13),(Datos!N13-Datos!X13)/Datos!X13," - ")</f>
        <v>-6.5467413742258923E-2</v>
      </c>
      <c r="H13" s="860">
        <f>IF(ISNUMBER(((NºAsuntos!G13/NºAsuntos!E13)-Datos!BD13)/Datos!BD13),((NºAsuntos!G13/NºAsuntos!E13)-Datos!BD13)/Datos!BD13," - ")</f>
        <v>-0.14885820808505226</v>
      </c>
      <c r="I13" s="860">
        <f>IF(ISNUMBER(((NºAsuntos!I13/NºAsuntos!G13)-Datos!BE13)/Datos!BE13),((NºAsuntos!I13/NºAsuntos!G13)-Datos!BE13)/Datos!BE13," - ")</f>
        <v>0.48445153864798912</v>
      </c>
      <c r="J13" s="860">
        <f>IF(ISNUMBER((('Resol  Asuntos'!D13/NºAsuntos!G13)-Datos!BF13)/Datos!BF13),(('Resol  Asuntos'!D13/NºAsuntos!G13)-Datos!BF13)/Datos!BF13," - ")</f>
        <v>-0.4658351960829038</v>
      </c>
      <c r="K13" s="860">
        <f>IF(ISNUMBER((((NºAsuntos!C13+NºAsuntos!E13)/NºAsuntos!G13)-Datos!BG13)/Datos!BG13),(((NºAsuntos!C13+NºAsuntos!E13)/NºAsuntos!G13)-Datos!BG13)/Datos!BG13," - ")</f>
        <v>0.22251551736450303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0.27033898305084747</v>
      </c>
      <c r="C15" s="459">
        <f>IF(ISNUMBER(
   IF(D_I="SI",(Datos!J15-Datos!T15)/Datos!T15,(Datos!J15+Datos!AD15-(Datos!T15+Datos!AL15))/(Datos!T15+Datos!AL15))
     ),IF(D_I="SI",(Datos!J15-Datos!T15)/Datos!T15,(Datos!J15+Datos!AD15-(Datos!T15+Datos!AL15))/(Datos!T15+Datos!AL15))," - ")</f>
        <v>9.9084096586178186E-2</v>
      </c>
      <c r="D15" s="459">
        <f>IF(ISNUMBER(
   IF(D_I="SI",(Datos!K15-Datos!U15)/Datos!U15,(Datos!K15+Datos!AE15-(Datos!U15+Datos!AM15))/(Datos!U15+Datos!AM15))
     ),IF(D_I="SI",(Datos!K15-Datos!U15)/Datos!U15,(Datos!K15+Datos!AE15-(Datos!U15+Datos!AM15))/(Datos!U15+Datos!AM15))," - ")</f>
        <v>0.11383478844862324</v>
      </c>
      <c r="E15" s="459">
        <f>IF(ISNUMBER(
   IF(D_I="SI",(Datos!L15-Datos!V15)/Datos!V15,(Datos!L15+Datos!AF15-(Datos!V15+Datos!AN15))/(Datos!V15+Datos!AN15))
     ),IF(D_I="SI",(Datos!L15-Datos!V15)/Datos!V15,(Datos!L15+Datos!AF15-(Datos!V15+Datos!AN15))/(Datos!V15+Datos!AN15))," - ")</f>
        <v>0.11274182788525684</v>
      </c>
      <c r="F15" s="459">
        <f>IF(ISNUMBER((Datos!M15-Datos!W15)/Datos!W15),(Datos!M15-Datos!W15)/Datos!W15," - ")</f>
        <v>1.8210609659540775E-2</v>
      </c>
      <c r="G15" s="460">
        <f>IF(ISNUMBER((Datos!N15-Datos!X15)/Datos!X15),(Datos!N15-Datos!X15)/Datos!X15," - ")</f>
        <v>0.11411253129529582</v>
      </c>
      <c r="H15" s="458">
        <f>IF(ISNUMBER(((NºAsuntos!G15/NºAsuntos!E15)-Datos!BD15)/Datos!BD15),((NºAsuntos!G15/NºAsuntos!E15)-Datos!BD15)/Datos!BD15," - ")</f>
        <v>1.3420894641512429E-2</v>
      </c>
      <c r="I15" s="459">
        <f>IF(ISNUMBER(((NºAsuntos!I15/NºAsuntos!G15)-Datos!BE15)/Datos!BE15),((NºAsuntos!I15/NºAsuntos!G15)-Datos!BE15)/Datos!BE15," - ")</f>
        <v>-9.8125913708325355E-4</v>
      </c>
      <c r="J15" s="464">
        <f>IF(ISNUMBER((('Resol  Asuntos'!D15/NºAsuntos!G15)-Datos!BF15)/Datos!BF15),(('Resol  Asuntos'!D15/NºAsuntos!G15)-Datos!BF15)/Datos!BF15," - ")</f>
        <v>-8.5851312762703524E-2</v>
      </c>
      <c r="K15" s="465">
        <f>IF(ISNUMBER((((NºAsuntos!C15+NºAsuntos!E15)/NºAsuntos!G15)-Datos!BG15)/Datos!BG15),(((NºAsuntos!C15+NºAsuntos!E15)/NºAsuntos!G15)-Datos!BG15)/Datos!BG15," - ")</f>
        <v>5.1180275388814159E-4</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0.22857142857142856</v>
      </c>
      <c r="C17" s="459">
        <f>IF(ISNUMBER(
   IF(D_I="SI",(Datos!J17-Datos!T17)/Datos!T17,(Datos!J17+Datos!AD17-(Datos!T17+Datos!AL17))/(Datos!T17+Datos!AL17))
     ),IF(D_I="SI",(Datos!J17-Datos!T17)/Datos!T17,(Datos!J17+Datos!AD17-(Datos!T17+Datos!AL17))/(Datos!T17+Datos!AL17))," - ")</f>
        <v>6.0377358490566038E-2</v>
      </c>
      <c r="D17" s="459">
        <f>IF(ISNUMBER(
   IF(D_I="SI",(Datos!K17-Datos!U17)/Datos!U17,(Datos!K17+Datos!AE17-(Datos!U17+Datos!AM17))/(Datos!U17+Datos!AM17))
     ),IF(D_I="SI",(Datos!K17-Datos!U17)/Datos!U17,(Datos!K17+Datos!AE17-(Datos!U17+Datos!AM17))/(Datos!U17+Datos!AM17))," - ")</f>
        <v>0.18675889328063242</v>
      </c>
      <c r="E17" s="459">
        <f>IF(ISNUMBER(
   IF(D_I="SI",(Datos!L17-Datos!V17)/Datos!V17,(Datos!L17+Datos!AF17-(Datos!V17+Datos!AN17))/(Datos!V17+Datos!AN17))
     ),IF(D_I="SI",(Datos!L17-Datos!V17)/Datos!V17,(Datos!L17+Datos!AF17-(Datos!V17+Datos!AN17))/(Datos!V17+Datos!AN17))," - ")</f>
        <v>-0.23588039867109634</v>
      </c>
      <c r="F17" s="459">
        <f>IF(ISNUMBER((Datos!M17-Datos!W17)/Datos!W17),(Datos!M17-Datos!W17)/Datos!W17," - ")</f>
        <v>2.197802197802198E-2</v>
      </c>
      <c r="G17" s="460">
        <f>IF(ISNUMBER((Datos!N17-Datos!X17)/Datos!X17),(Datos!N17-Datos!X17)/Datos!X17," - ")</f>
        <v>0.2937062937062937</v>
      </c>
      <c r="H17" s="458">
        <f>IF(ISNUMBER(((NºAsuntos!G17/NºAsuntos!E17)-Datos!BD17)/Datos!BD17),((NºAsuntos!G17/NºAsuntos!E17)-Datos!BD17)/Datos!BD17," - ")</f>
        <v>0.11918543316500924</v>
      </c>
      <c r="I17" s="459">
        <f>IF(ISNUMBER(((NºAsuntos!I17/NºAsuntos!G17)-Datos!BE17)/Datos!BE17),((NºAsuntos!I17/NºAsuntos!G17)-Datos!BE17)/Datos!BE17," - ")</f>
        <v>-0.35612902868871738</v>
      </c>
      <c r="J17" s="464">
        <f>IF(ISNUMBER((('Resol  Asuntos'!D17/NºAsuntos!G17)-Datos!BF17)/Datos!BF17),(('Resol  Asuntos'!D17/NºAsuntos!G17)-Datos!BF17)/Datos!BF17," - ")</f>
        <v>-0.13884949355390647</v>
      </c>
      <c r="K17" s="465">
        <f>IF(ISNUMBER((((NºAsuntos!C17+NºAsuntos!E17)/NºAsuntos!G17)-Datos!BG17)/Datos!BG17),(((NºAsuntos!C17+NºAsuntos!E17)/NºAsuntos!G17)-Datos!BG17)/Datos!BG17," - ")</f>
        <v>-7.9885535999693738E-2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0.26315789473684209</v>
      </c>
      <c r="C18" s="858">
        <f>IF(ISNUMBER(
   IF(Criterios!B14="SI",(Datos!J18-Datos!T18)/Datos!T18,(Datos!J18+Datos!AD18-(Datos!T18+Datos!AL18))/(Datos!T18+Datos!AL18))
     ),IF(Criterios!B14="SI",(Datos!J18-Datos!T18)/Datos!T18,(Datos!J18+Datos!AD18-(Datos!T18+Datos!AL18))/(Datos!T18+Datos!AL18))," - ")</f>
        <v>9.594491201224177E-2</v>
      </c>
      <c r="D18" s="858">
        <f>IF(ISNUMBER(
   IF(Criterios!B14="SI",(Datos!K18-Datos!U18)/Datos!U18,(Datos!K18+Datos!AE18-(Datos!U18+Datos!AM18))/(Datos!U18+Datos!AM18))
     ),IF(Criterios!B14="SI",(Datos!K18-Datos!U18)/Datos!U18,(Datos!K18+Datos!AE18-(Datos!U18+Datos!AM18))/(Datos!U18+Datos!AM18))," - ")</f>
        <v>0.11954503249767874</v>
      </c>
      <c r="E18" s="858">
        <f>IF(ISNUMBER(
   IF(Criterios!B14="SI",(Datos!L18-Datos!V18)/Datos!V18,(Datos!L18+Datos!AF18-(Datos!V18+Datos!AN18))/(Datos!V18+Datos!AN18))
     ),IF(Criterios!B14="SI",(Datos!L18-Datos!V18)/Datos!V18,(Datos!L18+Datos!AF18-(Datos!V18+Datos!AN18))/(Datos!V18+Datos!AN18))," - ")</f>
        <v>5.4444444444444441E-2</v>
      </c>
      <c r="F18" s="859">
        <f>IF(ISNUMBER((Datos!M18-Datos!W18)/Datos!W18),(Datos!M18-Datos!W18)/Datos!W18," - ")</f>
        <v>1.8463810930576072E-2</v>
      </c>
      <c r="G18" s="860">
        <f>IF(ISNUMBER((Datos!N18-Datos!X18)/Datos!X18),(Datos!N18-Datos!X18)/Datos!X18," - ")</f>
        <v>0.12670015929420414</v>
      </c>
      <c r="H18" s="860">
        <f>IF(ISNUMBER(((NºAsuntos!G18/NºAsuntos!E18)-Datos!BD18)/Datos!BD18),((NºAsuntos!G18/NºAsuntos!E18)-Datos!BD18)/Datos!BD18," - ")</f>
        <v>2.1534039007586075E-2</v>
      </c>
      <c r="I18" s="860">
        <f>IF(ISNUMBER(((NºAsuntos!I18/NºAsuntos!G18)-Datos!BE18)/Datos!BE18),((NºAsuntos!I18/NºAsuntos!G18)-Datos!BE18)/Datos!BE18," - ")</f>
        <v>-5.814914645103321E-2</v>
      </c>
      <c r="J18" s="860">
        <f>IF(ISNUMBER((('Resol  Asuntos'!D18/NºAsuntos!G18)-Datos!BF18)/Datos!BF18),(('Resol  Asuntos'!D18/NºAsuntos!G18)-Datos!BF18)/Datos!BF18," - ")</f>
        <v>-9.0287767470677571E-2</v>
      </c>
      <c r="K18" s="860">
        <f>IF(ISNUMBER((((NºAsuntos!C18+NºAsuntos!E18)/NºAsuntos!G18)-Datos!BG18)/Datos!BG18),(((NºAsuntos!C18+NºAsuntos!E18)/NºAsuntos!G18)-Datos!BG18)/Datos!BG18," - ")</f>
        <v>-6.3967520240664679E-3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0.18000627746390457</v>
      </c>
      <c r="C19" s="805">
        <f>IF(ISNUMBER(
   IF(J_V="SI",(Datos!J19-Datos!T19)/Datos!T19,(Datos!J19+Datos!Z19-(Datos!T19+Datos!AH19))/(Datos!T19+Datos!AH19))
     ),IF(J_V="SI",(Datos!J19-Datos!T19)/Datos!T19,(Datos!J19+Datos!Z19-(Datos!T19+Datos!AH19))/(Datos!T19+Datos!AH19))," - ")</f>
        <v>7.3308270676691725E-2</v>
      </c>
      <c r="D19" s="805">
        <f>IF(ISNUMBER(
   IF(J_V="SI",(Datos!K19-Datos!U19)/Datos!U19,(Datos!K19+Datos!AA19-(Datos!U19+Datos!AI19))/(Datos!U19+Datos!AI19))
     ),IF(J_V="SI",(Datos!K19-Datos!U19)/Datos!U19,(Datos!K19+Datos!AA19-(Datos!U19+Datos!AI19))/(Datos!U19+Datos!AI19))," - ")</f>
        <v>2.7994146249350895E-2</v>
      </c>
      <c r="E19" s="805">
        <f>IF(ISNUMBER(
   IF(J_V="SI",(Datos!L19-Datos!V19)/Datos!V19,(Datos!L19+Datos!AB19-(Datos!V19+Datos!AJ19))/(Datos!V19+Datos!AJ19))
     ),IF(J_V="SI",(Datos!L19-Datos!V19)/Datos!V19,(Datos!L19+Datos!AB19-(Datos!V19+Datos!AJ19))/(Datos!V19+Datos!AJ19))," - ")</f>
        <v>0.25136321319324378</v>
      </c>
      <c r="F19" s="806">
        <f>IF(ISNUMBER((Datos!M19-Datos!W19)/Datos!W19),(Datos!M19-Datos!W19)/Datos!W19," - ")</f>
        <v>-6.3011972274732195E-2</v>
      </c>
      <c r="G19" s="807">
        <f>IF(ISNUMBER((Datos!N19-Datos!X19)/Datos!X19),(Datos!N19-Datos!X19)/Datos!X19," - ")</f>
        <v>7.0290858725761768E-2</v>
      </c>
      <c r="H19" s="808">
        <f>IF(ISNUMBER((Tasas!B19-Datos!BD19)/Datos!BD19),(Tasas!B19-Datos!BD19)/Datos!BD19," - ")</f>
        <v>-4.2219114177487395E-2</v>
      </c>
      <c r="I19" s="809">
        <f>IF(ISNUMBER((Tasas!C19-Datos!BE19)/Datos!BE19),(Tasas!C19-Datos!BE19)/Datos!BE19," - ")</f>
        <v>0.21728632187144034</v>
      </c>
      <c r="J19" s="810">
        <f>IF(ISNUMBER((Tasas!D19-Datos!BF19)/Datos!BF19),(Tasas!D19-Datos!BF19)/Datos!BF19," - ")</f>
        <v>-0.38824009670970422</v>
      </c>
      <c r="K19" s="810">
        <f>IF(ISNUMBER((Tasas!E19-Datos!BG19)/Datos!BG19),(Tasas!E19-Datos!BG19)/Datos!BG19," - ")</f>
        <v>6.754612428810941E-2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wRUQByH8NEbWPOzFbSIxNagnDItiRct0xll+kGB5uWvHlyFURctbsSyK7V6178/aCs2TEYeTBhqSfhiRssxQA==" saltValue="kxk3DpTgae1AuRDIFRWJ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FUENGIROLA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0.79830338207389218</v>
      </c>
      <c r="C9" s="446">
        <f>IF(ISNUMBER(NºAsuntos!I9/NºAsuntos!G9),NºAsuntos!I9/NºAsuntos!G9," - ")</f>
        <v>1.0360738255033557</v>
      </c>
      <c r="D9" s="447">
        <f>IF(ISNUMBER('Resol  Asuntos'!D9/NºAsuntos!G9),'Resol  Asuntos'!D9/NºAsuntos!G9," - ")</f>
        <v>0.21532438478747204</v>
      </c>
      <c r="E9" s="448">
        <f>IF(ISNUMBER((NºAsuntos!C9+NºAsuntos!E9)/NºAsuntos!G9),(NºAsuntos!C9+NºAsuntos!E9)/NºAsuntos!G9," - ")</f>
        <v>2.0359340044742731</v>
      </c>
      <c r="G9" s="466"/>
    </row>
    <row r="10" spans="1:7">
      <c r="A10" s="405" t="str">
        <f>Datos!A10</f>
        <v>Jdos. Violencia contra la mujer</v>
      </c>
      <c r="B10" s="445">
        <f>IF(ISNUMBER(NºAsuntos!G10/NºAsuntos!E10),NºAsuntos!G10/NºAsuntos!E10," - ")</f>
        <v>1.2109375</v>
      </c>
      <c r="C10" s="446">
        <f>IF(ISNUMBER(NºAsuntos!I10/NºAsuntos!G10),NºAsuntos!I10/NºAsuntos!G10," - ")</f>
        <v>0.65161290322580645</v>
      </c>
      <c r="D10" s="447">
        <f>IF(ISNUMBER('Resol  Asuntos'!D10/NºAsuntos!G10),'Resol  Asuntos'!D10/NºAsuntos!G10," - ")</f>
        <v>0.35483870967741937</v>
      </c>
      <c r="E10" s="448">
        <f>IF(ISNUMBER((NºAsuntos!C10+NºAsuntos!E10)/NºAsuntos!G10),(NºAsuntos!C10+NºAsuntos!E10)/NºAsuntos!G10," - ")</f>
        <v>1.5806451612903225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0.80411576978100585</v>
      </c>
      <c r="C13" s="862">
        <f>IF(ISNUMBER(NºAsuntos!I13/NºAsuntos!G13),NºAsuntos!I13/NºAsuntos!G13," - ")</f>
        <v>1.0279184343779937</v>
      </c>
      <c r="D13" s="863">
        <f>IF(ISNUMBER('Resol  Asuntos'!D13/NºAsuntos!G13),'Resol  Asuntos'!D13/NºAsuntos!G13," - ")</f>
        <v>0.21828383741617627</v>
      </c>
      <c r="E13" s="864">
        <f>IF(ISNUMBER((NºAsuntos!C13+NºAsuntos!E13)/NºAsuntos!G13),(NºAsuntos!C13+NºAsuntos!E13)/NºAsuntos!G13," - ")</f>
        <v>2.0262761735322292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1.0051515151515151</v>
      </c>
      <c r="C15" s="446">
        <f>IF(ISNUMBER(NºAsuntos!I15/NºAsuntos!G15),NºAsuntos!I15/NºAsuntos!G15," - ")</f>
        <v>0.12571600844136269</v>
      </c>
      <c r="D15" s="447">
        <f>IF(ISNUMBER('Resol  Asuntos'!D15/NºAsuntos!G15),'Resol  Asuntos'!D15/NºAsuntos!G15," - ")</f>
        <v>9.6924932167621339E-2</v>
      </c>
      <c r="E15" s="448">
        <f>IF(ISNUMBER((NºAsuntos!C15+NºAsuntos!E15)/NºAsuntos!G15),(NºAsuntos!C15+NºAsuntos!E15)/NºAsuntos!G15," - ")</f>
        <v>1.1078534820621042</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1.0685053380782918</v>
      </c>
      <c r="C17" s="446">
        <f>IF(ISNUMBER(NºAsuntos!I17/NºAsuntos!G17),NºAsuntos!I17/NºAsuntos!G17," - ")</f>
        <v>0.19150707743547044</v>
      </c>
      <c r="D17" s="447">
        <f>IF(ISNUMBER('Resol  Asuntos'!D17/NºAsuntos!G17),'Resol  Asuntos'!D17/NºAsuntos!G17," - ")</f>
        <v>7.743547044129892E-2</v>
      </c>
      <c r="E17" s="448">
        <f>IF(ISNUMBER((NºAsuntos!C17+NºAsuntos!E17)/NºAsuntos!G17),(NºAsuntos!C17+NºAsuntos!E17)/NºAsuntos!G17," - ")</f>
        <v>1.186511240632806</v>
      </c>
      <c r="G17" s="466"/>
    </row>
    <row r="18" spans="1:7" ht="14.25" thickTop="1" thickBot="1">
      <c r="A18" s="851" t="str">
        <f>Datos!A18</f>
        <v>TOTAL</v>
      </c>
      <c r="B18" s="861">
        <f>IF(ISNUMBER(NºAsuntos!G18/NºAsuntos!E18),NºAsuntos!G18/NºAsuntos!E18," - ")</f>
        <v>1.0101228707065066</v>
      </c>
      <c r="C18" s="862">
        <f>IF(ISNUMBER(NºAsuntos!I18/NºAsuntos!G18),NºAsuntos!I18/NºAsuntos!G18," - ")</f>
        <v>0.13117699910152741</v>
      </c>
      <c r="D18" s="865">
        <f>IF(ISNUMBER('Resol  Asuntos'!D18/NºAsuntos!G18),'Resol  Asuntos'!D18/NºAsuntos!G18," - ")</f>
        <v>9.5307208514755687E-2</v>
      </c>
      <c r="E18" s="864">
        <f>IF(ISNUMBER((NºAsuntos!C18+NºAsuntos!E18)/NºAsuntos!G18),(NºAsuntos!C18+NºAsuntos!E18)/NºAsuntos!G18," - ")</f>
        <v>1.1143824728730389</v>
      </c>
      <c r="G18" s="466"/>
    </row>
    <row r="19" spans="1:7" ht="15.75" customHeight="1" thickTop="1" thickBot="1">
      <c r="A19" s="796" t="str">
        <f>Datos!A19</f>
        <v>TOTAL JURISDICCIONES</v>
      </c>
      <c r="B19" s="811">
        <f>IF(ISNUMBER(NºAsuntos!G19/NºAsuntos!E19),NºAsuntos!G19/NºAsuntos!E19," - ")</f>
        <v>0.93016103541070438</v>
      </c>
      <c r="C19" s="812">
        <f>IF(ISNUMBER(NºAsuntos!I19/NºAsuntos!G19),NºAsuntos!I19/NºAsuntos!G19," - ")</f>
        <v>0.43208119030124909</v>
      </c>
      <c r="D19" s="813">
        <f>IF(ISNUMBER('Resol  Asuntos'!D19/NºAsuntos!G19),'Resol  Asuntos'!D19/NºAsuntos!G19," - ")</f>
        <v>0.13657237325495958</v>
      </c>
      <c r="E19" s="814">
        <f>IF(ISNUMBER((NºAsuntos!C19+NºAsuntos!E19)/NºAsuntos!G19),(NºAsuntos!C19+NºAsuntos!E19)/NºAsuntos!G19," - ")</f>
        <v>1.4203710506980161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1AHOS5ys39KF7nafQGt8jlG8JnyIxyXXwuyF3tWQi2BW+JJpjdmQRYAGYUvEIuahPsMJZcgEPDNo1hk3om1kVg==" saltValue="hn6HSLFzcGt61EeUuZe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FUENGIROLA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246</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1751</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1761</v>
      </c>
      <c r="Y9" s="337">
        <f>SUM(W9:X9)</f>
        <v>1761</v>
      </c>
      <c r="Z9" s="338" t="str">
        <f>IF(ISNUMBER(Datos!CC9),Datos!CC9," - ")</f>
        <v xml:space="preserve"> - </v>
      </c>
      <c r="AA9" s="335" t="str">
        <f>IF(ISNUMBER(IF(J_V="SI",Datos!L9,Datos!L9+Datos!AB9)-IF(Monitorios="SI",Datos!CD9,0)),
                          IF(J_V="SI",Datos!L9,Datos!L9+Datos!AB9)-IF(Monitorios="SI",Datos!CD9,0),
                          " - ")</f>
        <v xml:space="preserve"> - </v>
      </c>
      <c r="AB9" s="337">
        <f>IF(ISNUMBER(Datos!R9),Datos!R9," - ")</f>
        <v>7300</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1540</v>
      </c>
      <c r="AJ9" s="232" t="str">
        <f>IF(ISNUMBER(Datos!BW9),Datos!BW9," - ")</f>
        <v xml:space="preserve"> - </v>
      </c>
      <c r="AK9" s="231" t="str">
        <f>IF(ISNUMBER(Datos!BX9),Datos!BX9," - ")</f>
        <v xml:space="preserve"> - </v>
      </c>
      <c r="AL9" s="246">
        <f>IF(ISNUMBER(NºAsuntos!G9/NºAsuntos!E9),NºAsuntos!G9/NºAsuntos!E9," - ")</f>
        <v>0.79830338207389218</v>
      </c>
      <c r="AM9" s="263">
        <f>IF(ISNUMBER(((NºAsuntos!I9/NºAsuntos!G9)*11)/factor_trimestre),((NºAsuntos!I9/NºAsuntos!G9)*11)/factor_trimestre," - ")</f>
        <v>11.396812080536913</v>
      </c>
      <c r="AN9" s="247">
        <f>IF(ISNUMBER('Resol  Asuntos'!D9/NºAsuntos!G9),'Resol  Asuntos'!D9/NºAsuntos!G9," - ")</f>
        <v>0.21532438478747204</v>
      </c>
      <c r="AO9" s="248">
        <f>IF(ISNUMBER((NºAsuntos!C9+NºAsuntos!E9)/NºAsuntos!G9),(NºAsuntos!C9+NºAsuntos!E9)/NºAsuntos!G9," - ")</f>
        <v>2.0359340044742731</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128</v>
      </c>
      <c r="G10" s="336">
        <f>IF(ISNUMBER(Datos!I10),Datos!I10," - ")</f>
        <v>117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155</v>
      </c>
      <c r="X10" s="229">
        <f>IF(ISNUMBER(Datos!Q10),Datos!Q10," - ")</f>
        <v>20</v>
      </c>
      <c r="Y10" s="337">
        <f t="shared" ref="Y10:Y12" si="0">SUM(W10:X10)</f>
        <v>175</v>
      </c>
      <c r="Z10" s="338" t="str">
        <f>IF(ISNUMBER(Datos!CC10),Datos!CC10," - ")</f>
        <v xml:space="preserve"> - </v>
      </c>
      <c r="AA10" s="335">
        <f>IF(ISNUMBER(Datos!L10),Datos!L10,"-")</f>
        <v>101</v>
      </c>
      <c r="AB10" s="337">
        <f>IF(ISNUMBER(Datos!R10),Datos!R10," - ")</f>
        <v>85</v>
      </c>
      <c r="AC10" s="337">
        <f t="shared" ref="AC10:AC12" si="1">IF(ISNUMBER(AA10+AB10),AA10+AB10," - ")</f>
        <v>186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55</v>
      </c>
      <c r="AJ10" s="234" t="str">
        <f>IF(ISNUMBER(Datos!BW10),Datos!BW10," - ")</f>
        <v xml:space="preserve"> - </v>
      </c>
      <c r="AK10" s="235" t="str">
        <f>IF(ISNUMBER(Datos!BX10),Datos!BX10," - ")</f>
        <v xml:space="preserve"> - </v>
      </c>
      <c r="AL10" s="246">
        <f>IF(ISNUMBER(NºAsuntos!G10/NºAsuntos!E10),NºAsuntos!G10/NºAsuntos!E10," - ")</f>
        <v>1.2109375</v>
      </c>
      <c r="AM10" s="263">
        <f>IF(ISNUMBER(((NºAsuntos!I10/NºAsuntos!G10)*11)/factor_trimestre),((NºAsuntos!I10/NºAsuntos!G10)*11)/factor_trimestre," - ")</f>
        <v>7.1677419354838712</v>
      </c>
      <c r="AN10" s="247">
        <f>IF(ISNUMBER('Resol  Asuntos'!D10/NºAsuntos!G10),'Resol  Asuntos'!D10/NºAsuntos!G10," - ")</f>
        <v>0.35483870967741937</v>
      </c>
      <c r="AO10" s="248">
        <f>IF(ISNUMBER((NºAsuntos!C10+NºAsuntos!E10)/NºAsuntos!G10),(NºAsuntos!C10+NºAsuntos!E10)/NºAsuntos!G10," - ")</f>
        <v>1.5806451612903225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128</v>
      </c>
      <c r="G13" s="869">
        <f t="shared" si="3"/>
        <v>117</v>
      </c>
      <c r="H13" s="868">
        <f t="shared" si="3"/>
        <v>0</v>
      </c>
      <c r="I13" s="870">
        <f t="shared" si="3"/>
        <v>0</v>
      </c>
      <c r="J13" s="870">
        <f t="shared" si="3"/>
        <v>0</v>
      </c>
      <c r="K13" s="870">
        <f t="shared" si="3"/>
        <v>0</v>
      </c>
      <c r="L13" s="870">
        <f t="shared" si="3"/>
        <v>1775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155</v>
      </c>
      <c r="X13" s="870">
        <f t="shared" si="4"/>
        <v>1781</v>
      </c>
      <c r="Y13" s="871">
        <f t="shared" si="4"/>
        <v>1936</v>
      </c>
      <c r="Z13" s="871">
        <f t="shared" si="4"/>
        <v>0</v>
      </c>
      <c r="AA13" s="871">
        <f t="shared" si="4"/>
        <v>101</v>
      </c>
      <c r="AB13" s="871">
        <f t="shared" si="4"/>
        <v>7385</v>
      </c>
      <c r="AC13" s="871">
        <f t="shared" si="4"/>
        <v>186</v>
      </c>
      <c r="AD13" s="871">
        <f t="shared" si="4"/>
        <v>0</v>
      </c>
      <c r="AE13" s="875">
        <f t="shared" si="4"/>
        <v>0</v>
      </c>
      <c r="AF13" s="868">
        <f t="shared" si="4"/>
        <v>0</v>
      </c>
      <c r="AG13" s="876">
        <f t="shared" si="4"/>
        <v>0</v>
      </c>
      <c r="AH13" s="873">
        <f t="shared" si="4"/>
        <v>0</v>
      </c>
      <c r="AI13" s="868">
        <f t="shared" si="4"/>
        <v>1595</v>
      </c>
      <c r="AJ13" s="870">
        <f t="shared" si="4"/>
        <v>0</v>
      </c>
      <c r="AK13" s="873">
        <f>SUBTOTAL(9,AK9:AK12)</f>
        <v>0</v>
      </c>
      <c r="AL13" s="877">
        <f>IF(ISNUMBER(NºAsuntos!G13/NºAsuntos!E13),NºAsuntos!G13/NºAsuntos!E13," - ")</f>
        <v>0.80411576978100585</v>
      </c>
      <c r="AM13" s="877">
        <f>IF(ISNUMBER(((NºAsuntos!I13/NºAsuntos!G13)*11)/factor_trimestre),((NºAsuntos!I13/NºAsuntos!G13)*11)/factor_trimestre," - ")</f>
        <v>11.30710277815793</v>
      </c>
      <c r="AN13" s="878">
        <f>IF(ISNUMBER('Resol  Asuntos'!D13/NºAsuntos!G13),'Resol  Asuntos'!D13/NºAsuntos!G13," - ")</f>
        <v>0.21828383741617627</v>
      </c>
      <c r="AO13" s="879">
        <f>IF(ISNUMBER((NºAsuntos!C13+NºAsuntos!E13)/NºAsuntos!G13),(NºAsuntos!C13+NºAsuntos!E13)/NºAsuntos!G13," - ")</f>
        <v>2.0262761735322292</v>
      </c>
      <c r="AP13" s="880" t="str">
        <f t="shared" si="2"/>
        <v xml:space="preserve"> - </v>
      </c>
      <c r="AQ13" s="880">
        <f>IF(ISNUMBER((H13-W13+K13)/(F13)),(H13-W13+K13)/(F13)," - ")</f>
        <v>-1.2109375</v>
      </c>
      <c r="AR13" s="881">
        <f>IF(ISNUMBER((Datos!P13-Datos!Q13)/(Datos!R13-Datos!P13+Datos!Q13)),(Datos!P13-Datos!Q13)/(Datos!R13-Datos!P13+Datos!Q13)," - ")</f>
        <v>-8.117981328642944E-4</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396</v>
      </c>
      <c r="C15" s="163" t="str">
        <f>Datos!A15</f>
        <v xml:space="preserve">Jdos. Instrucción                               </v>
      </c>
      <c r="D15" s="163"/>
      <c r="E15" s="1028">
        <f>IF(ISNUMBER(Datos!AQ15),Datos!AQ15," - ")</f>
        <v>4</v>
      </c>
      <c r="F15" s="228">
        <f>IF(ISNUMBER(AA15+W15-Datos!J15-K15),AA15+W15-Datos!J15-K15," - ")</f>
        <v>1736</v>
      </c>
      <c r="G15" s="336">
        <f>IF(ISNUMBER(IF(D_I="SI",Datos!I15,Datos!I15+Datos!AC15)),IF(D_I="SI",Datos!I15,Datos!I15+Datos!AC15)," - ")</f>
        <v>1499</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498</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13268</v>
      </c>
      <c r="X15" s="229">
        <f>IF(ISNUMBER(Datos!Q15),Datos!Q15," - ")</f>
        <v>490</v>
      </c>
      <c r="Y15" s="337">
        <f>SUM(W15)</f>
        <v>13268</v>
      </c>
      <c r="Z15" s="338" t="str">
        <f>IF(ISNUMBER(Datos!CC15),Datos!CC15," - ")</f>
        <v xml:space="preserve"> - </v>
      </c>
      <c r="AA15" s="335">
        <f>IF(ISNUMBER(IF(D_I="SI",Datos!L15,Datos!L15+Datos!AF15)),IF(D_I="SI",Datos!L15,Datos!L15+Datos!AF15)," - ")</f>
        <v>1668</v>
      </c>
      <c r="AB15" s="337">
        <f>IF(ISNUMBER(Datos!R15),Datos!R15," - ")</f>
        <v>290</v>
      </c>
      <c r="AC15" s="337">
        <f t="shared" ref="AC15:AC17" si="6">IF(ISNUMBER(AA15+AB15),AA15+AB15," - ")</f>
        <v>1958</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1286</v>
      </c>
      <c r="AJ15" s="234" t="str">
        <f>IF(ISNUMBER(Datos!BW15),Datos!BW15," - ")</f>
        <v xml:space="preserve"> - </v>
      </c>
      <c r="AK15" s="235" t="str">
        <f>IF(ISNUMBER(Datos!BX15),Datos!BX15," - ")</f>
        <v xml:space="preserve"> - </v>
      </c>
      <c r="AL15" s="246">
        <f>IF(ISNUMBER(NºAsuntos!G15/NºAsuntos!E15),NºAsuntos!G15/NºAsuntos!E15," - ")</f>
        <v>1.0051515151515151</v>
      </c>
      <c r="AM15" s="263">
        <f>IF(ISNUMBER(((NºAsuntos!I15/NºAsuntos!G15)*11)/factor_trimestre),((NºAsuntos!I15/NºAsuntos!G15)*11)/factor_trimestre," - ")</f>
        <v>1.3828760928549895</v>
      </c>
      <c r="AN15" s="247">
        <f>IF(ISNUMBER('Resol  Asuntos'!D15/NºAsuntos!G15),'Resol  Asuntos'!D15/NºAsuntos!G15," - ")</f>
        <v>9.6924932167621339E-2</v>
      </c>
      <c r="AO15" s="248">
        <f>IF(ISNUMBER((NºAsuntos!C15+NºAsuntos!E15)/NºAsuntos!G15),(NºAsuntos!C15+NºAsuntos!E15)/NºAsuntos!G15," - ")</f>
        <v>1.1078534820621042</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301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1201</v>
      </c>
      <c r="X17" s="229">
        <f>IF(ISNUMBER(Datos!Q17),Datos!Q17," - ")</f>
        <v>2</v>
      </c>
      <c r="Y17" s="337">
        <f t="shared" si="7"/>
        <v>1203</v>
      </c>
      <c r="Z17" s="338" t="str">
        <f>IF(ISNUMBER(Datos!CC17),Datos!CC17," - ")</f>
        <v xml:space="preserve"> - </v>
      </c>
      <c r="AA17" s="335">
        <f>IF(ISNUMBER(Datos!L17),Datos!L17,"-")</f>
        <v>230</v>
      </c>
      <c r="AB17" s="337">
        <f>IF(ISNUMBER(Datos!R17),Datos!R17," - ")</f>
        <v>5</v>
      </c>
      <c r="AC17" s="337">
        <f t="shared" si="6"/>
        <v>235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93</v>
      </c>
      <c r="AJ17" s="234" t="str">
        <f>IF(ISNUMBER(Datos!BW17),Datos!BW17," - ")</f>
        <v xml:space="preserve"> - </v>
      </c>
      <c r="AK17" s="235" t="str">
        <f>IF(ISNUMBER(Datos!BX17),Datos!BX17," - ")</f>
        <v xml:space="preserve"> - </v>
      </c>
      <c r="AL17" s="246">
        <f>IF(ISNUMBER(NºAsuntos!G17/NºAsuntos!E17),NºAsuntos!G17/NºAsuntos!E17," - ")</f>
        <v>1.0685053380782918</v>
      </c>
      <c r="AM17" s="263">
        <f>IF(ISNUMBER(((NºAsuntos!I17/NºAsuntos!G17)*11)/factor_trimestre),((NºAsuntos!I17/NºAsuntos!G17)*11)/factor_trimestre," - ")</f>
        <v>2.106577851790175</v>
      </c>
      <c r="AN17" s="247">
        <f>IF(ISNUMBER('Resol  Asuntos'!D17/NºAsuntos!G17),'Resol  Asuntos'!D17/NºAsuntos!G17," - ")</f>
        <v>7.743547044129892E-2</v>
      </c>
      <c r="AO17" s="248">
        <f>IF(ISNUMBER((NºAsuntos!C17+NºAsuntos!E17)/NºAsuntos!G17),(NºAsuntos!C17+NºAsuntos!E17)/NºAsuntos!G17," - ")</f>
        <v>1.186511240632806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1736</v>
      </c>
      <c r="G18" s="869">
        <f>SUBTOTAL(9,G15:G17)</f>
        <v>1800</v>
      </c>
      <c r="H18" s="868">
        <f t="shared" ref="H18:O18" si="10">SUBTOTAL(9,H14:H17)</f>
        <v>0</v>
      </c>
      <c r="I18" s="870">
        <f t="shared" si="10"/>
        <v>0</v>
      </c>
      <c r="J18" s="870">
        <f t="shared" si="10"/>
        <v>0</v>
      </c>
      <c r="K18" s="870">
        <f t="shared" si="10"/>
        <v>0</v>
      </c>
      <c r="L18" s="870">
        <f t="shared" si="10"/>
        <v>501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14469</v>
      </c>
      <c r="X18" s="870">
        <f t="shared" si="11"/>
        <v>492</v>
      </c>
      <c r="Y18" s="871">
        <f t="shared" si="11"/>
        <v>14471</v>
      </c>
      <c r="Z18" s="871">
        <f t="shared" si="11"/>
        <v>0</v>
      </c>
      <c r="AA18" s="871">
        <f t="shared" si="11"/>
        <v>1898</v>
      </c>
      <c r="AB18" s="871">
        <f t="shared" si="11"/>
        <v>295</v>
      </c>
      <c r="AC18" s="871">
        <f t="shared" si="11"/>
        <v>2193</v>
      </c>
      <c r="AD18" s="871">
        <f t="shared" si="11"/>
        <v>0</v>
      </c>
      <c r="AE18" s="875">
        <f t="shared" si="11"/>
        <v>0</v>
      </c>
      <c r="AF18" s="868">
        <f t="shared" si="11"/>
        <v>0</v>
      </c>
      <c r="AG18" s="876">
        <f t="shared" si="11"/>
        <v>0</v>
      </c>
      <c r="AH18" s="873">
        <f t="shared" si="11"/>
        <v>0</v>
      </c>
      <c r="AI18" s="868">
        <f t="shared" si="11"/>
        <v>1379</v>
      </c>
      <c r="AJ18" s="870">
        <f t="shared" si="11"/>
        <v>0</v>
      </c>
      <c r="AK18" s="873">
        <f t="shared" si="11"/>
        <v>0</v>
      </c>
      <c r="AL18" s="877">
        <f>IF(ISNUMBER(NºAsuntos!G18/NºAsuntos!E18),NºAsuntos!G18/NºAsuntos!E18," - ")</f>
        <v>1.0101228707065066</v>
      </c>
      <c r="AM18" s="877">
        <f>IF(ISNUMBER(((NºAsuntos!I18/NºAsuntos!G18)*11)/factor_trimestre),((NºAsuntos!I18/NºAsuntos!G18)*11)/factor_trimestre," - ")</f>
        <v>1.4429469901168015</v>
      </c>
      <c r="AN18" s="878">
        <f>IF(ISNUMBER('Resol  Asuntos'!D18/NºAsuntos!G18),'Resol  Asuntos'!D18/NºAsuntos!G18," - ")</f>
        <v>9.5307208514755687E-2</v>
      </c>
      <c r="AO18" s="879">
        <f>IF(ISNUMBER((NºAsuntos!C18+NºAsuntos!E18)/NºAsuntos!G18),(NºAsuntos!C18+NºAsuntos!E18)/NºAsuntos!G18," - ")</f>
        <v>1.1143824728730389</v>
      </c>
      <c r="AP18" s="880" t="str">
        <f t="shared" si="2"/>
        <v xml:space="preserve"> - </v>
      </c>
      <c r="AQ18" s="880">
        <f>IF(ISNUMBER((H18-W18+K18)/(F18)),(H18-W18+K18)/(F18)," - ")</f>
        <v>-8.3346774193548381</v>
      </c>
      <c r="AR18" s="881">
        <f>IF(ISNUMBER((Datos!P18-Datos!Q18)/(Datos!R18-Datos!P18+Datos!Q18)),(Datos!P18-Datos!Q18)/(Datos!R18-Datos!P18+Datos!Q18)," - ")</f>
        <v>3.1468531468531472E-2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11</v>
      </c>
      <c r="F19" s="823">
        <f t="shared" si="13"/>
        <v>1864</v>
      </c>
      <c r="G19" s="824">
        <f t="shared" si="13"/>
        <v>1917</v>
      </c>
      <c r="H19" s="823">
        <f t="shared" si="13"/>
        <v>0</v>
      </c>
      <c r="I19" s="825">
        <f t="shared" si="13"/>
        <v>0</v>
      </c>
      <c r="J19" s="825">
        <f t="shared" si="13"/>
        <v>0</v>
      </c>
      <c r="K19" s="884">
        <f t="shared" si="13"/>
        <v>0</v>
      </c>
      <c r="L19" s="825">
        <f t="shared" si="13"/>
        <v>2276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14624</v>
      </c>
      <c r="X19" s="824">
        <f t="shared" si="14"/>
        <v>2273</v>
      </c>
      <c r="Y19" s="831">
        <f t="shared" si="14"/>
        <v>16407</v>
      </c>
      <c r="Z19" s="831">
        <f t="shared" si="14"/>
        <v>0</v>
      </c>
      <c r="AA19" s="831">
        <f t="shared" si="14"/>
        <v>1999</v>
      </c>
      <c r="AB19" s="831">
        <f t="shared" si="14"/>
        <v>7680</v>
      </c>
      <c r="AC19" s="831">
        <f t="shared" si="14"/>
        <v>2379</v>
      </c>
      <c r="AD19" s="831">
        <f t="shared" si="14"/>
        <v>0</v>
      </c>
      <c r="AE19" s="833">
        <f t="shared" si="14"/>
        <v>0</v>
      </c>
      <c r="AF19" s="834">
        <f t="shared" si="14"/>
        <v>0</v>
      </c>
      <c r="AG19" s="835">
        <f t="shared" si="14"/>
        <v>0</v>
      </c>
      <c r="AH19" s="833">
        <f t="shared" si="14"/>
        <v>0</v>
      </c>
      <c r="AI19" s="823">
        <f t="shared" si="14"/>
        <v>2974</v>
      </c>
      <c r="AJ19" s="823">
        <f t="shared" si="14"/>
        <v>0</v>
      </c>
      <c r="AK19" s="833">
        <f t="shared" si="14"/>
        <v>0</v>
      </c>
      <c r="AL19" s="887">
        <f>IF(ISNUMBER(NºAsuntos!G19/NºAsuntos!E19),NºAsuntos!G19/NºAsuntos!E19," - ")</f>
        <v>0.93016103541070438</v>
      </c>
      <c r="AM19" s="888">
        <f>IF(ISNUMBER(((NºAsuntos!I19/NºAsuntos!G19)*11)/factor_trimestre),((NºAsuntos!I19/NºAsuntos!G19)*11)/factor_trimestre," - ")</f>
        <v>4.7528930933137401</v>
      </c>
      <c r="AN19" s="888">
        <f>IF(ISNUMBER('Resol  Asuntos'!D19/NºAsuntos!G19),'Resol  Asuntos'!D19/NºAsuntos!G19," - ")</f>
        <v>0.13657237325495958</v>
      </c>
      <c r="AO19" s="889">
        <f>IF(ISNUMBER((NºAsuntos!C19+NºAsuntos!E19)/NºAsuntos!G19),(NºAsuntos!C19+NºAsuntos!E19)/NºAsuntos!G19," - ")</f>
        <v>1.4203710506980161</v>
      </c>
      <c r="AP19" s="890" t="str">
        <f t="shared" si="2"/>
        <v xml:space="preserve"> - </v>
      </c>
      <c r="AQ19" s="891">
        <f>IF(OR(ISNUMBER(FIND("01",Criterios!A8,1)),ISNUMBER(FIND("02",Criterios!A8,1)),ISNUMBER(FIND("03",Criterios!A8,1)),ISNUMBER(FIND("04",Criterios!A8,1))),(I19-W19+K19)/(F19-K19),(H19-W19+K19)/(F19-K19))</f>
        <v>-7.8454935622317601</v>
      </c>
      <c r="AR19" s="892">
        <f>IF(ISNUMBER((Datos!P19-Datos!Q19)/(Datos!R19-Datos!P19+Datos!Q19)),(Datos!P19-Datos!Q19)/(Datos!R19-Datos!P19+Datos!Q19)," - ")</f>
        <v>3.9077764751856197E-4</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766.8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2.5055493963954847</v>
      </c>
      <c r="F21" s="255">
        <f>IF(ISNUMBER(STDEV(F8:F18)),STDEV(F8:F18),"-")</f>
        <v>928.37923285691818</v>
      </c>
      <c r="G21" s="256">
        <f>IF(ISNUMBER(STDEV(G8:G18)),STDEV(G8:G18),"-")</f>
        <v>816.25192189666541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7344.9495437341157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719.20585833728205</v>
      </c>
      <c r="AJ21" s="255">
        <f t="shared" si="18"/>
        <v>0</v>
      </c>
      <c r="AK21" s="257">
        <f t="shared" si="18"/>
        <v>0</v>
      </c>
      <c r="AL21" s="252">
        <f t="shared" si="18"/>
        <v>0.1591259191153914</v>
      </c>
      <c r="AM21" s="253">
        <f t="shared" si="18"/>
        <v>4.8095626295707392</v>
      </c>
      <c r="AN21" s="253">
        <f t="shared" si="18"/>
        <v>0.1075137465134449</v>
      </c>
      <c r="AO21" s="254">
        <f t="shared" si="18"/>
        <v>0.44068280597869153</v>
      </c>
      <c r="AP21" s="294" t="str">
        <f t="shared" si="18"/>
        <v>-</v>
      </c>
      <c r="AQ21" s="295">
        <f t="shared" si="18"/>
        <v>5.0372448043851152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ZKBkdxhd3lfQZefB66y+dLdeMetFNOVgNQFsRa/++AiZj2cvnaqQE2epOy5poJ2Ixn3cCzjdxaAb5Y6N4rwIYA==" saltValue="jxJZjZg8IWHy+ESkuOFPW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FUENGIROLA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-0.13288288288288289</v>
      </c>
      <c r="I9" s="353">
        <f>IF(ISNUMBER((Tasas!C9-Datos!BE9)/Datos!BE9),(Tasas!C9-Datos!BE9)/Datos!BE9," - ")</f>
        <v>0.50380511873755529</v>
      </c>
      <c r="J9" s="352">
        <f>IF(ISNUMBER((Tasas!D9-Datos!BF9)/Datos!BF9),(Tasas!D9-Datos!BF9)/Datos!BF9," - ")</f>
        <v>-0.47439130209938901</v>
      </c>
      <c r="K9" s="354">
        <f>IF(ISNUMBER((Tasas!E9-Datos!BG9)/Datos!BG9),(Tasas!E9-Datos!BG9)/Datos!BG9," - ")</f>
        <v>0.23262690918691845</v>
      </c>
      <c r="M9" t="e">
        <f>IF(Monitorios="SI",Datos!CE9,0)</f>
        <v>#REF!</v>
      </c>
      <c r="N9" t="e">
        <f>IF(Monitorios="SI",Datos!CF9,0)</f>
        <v>#REF!</v>
      </c>
      <c r="O9" t="e">
        <f>IF(Monitorios="SI",Datos!CG9,0)</f>
        <v>#REF!</v>
      </c>
      <c r="P9" t="e">
        <f>IF(Monitorios="SI",Datos!CH9,0)</f>
        <v>#REF!</v>
      </c>
      <c r="Q9">
        <f>IF(J_V="SI",0,Datos!AG9)</f>
        <v>89</v>
      </c>
      <c r="R9">
        <f>IF(J_V="SI",0,Datos!AH9)</f>
        <v>540</v>
      </c>
      <c r="S9">
        <f>IF(J_V="SI",0,Datos!AI9)</f>
        <v>530</v>
      </c>
      <c r="T9">
        <f>IF(J_V="SI",0,Datos!AJ9)</f>
        <v>81</v>
      </c>
    </row>
    <row r="10" spans="2:20" ht="14.25">
      <c r="B10" s="278" t="s">
        <v>246</v>
      </c>
      <c r="C10" s="7" t="str">
        <f>Datos!A10</f>
        <v>Jdos. Violencia contra la mujer</v>
      </c>
      <c r="D10" s="355">
        <f>IF(ISNUMBER((Datos!I10-Datos!S10)/Datos!S10),(Datos!I10-Datos!S10)/Datos!S10," - ")</f>
        <v>0.17</v>
      </c>
      <c r="E10" s="351">
        <f>IF(ISNUMBER((Datos!J10-Datos!T10)/Datos!T10),(Datos!J10-Datos!T10)/Datos!T10," - ")</f>
        <v>-0.19496855345911951</v>
      </c>
      <c r="F10" s="351">
        <f>IF(ISNUMBER((Datos!K10-Datos!U10)/Datos!U10),(Datos!K10-Datos!U10)/Datos!U10," - ")</f>
        <v>0.2109375</v>
      </c>
      <c r="G10" s="352">
        <f>IF(ISNUMBER((Datos!L10-Datos!V10)/Datos!V10),(Datos!L10-Datos!V10)/Datos!V10," - ")</f>
        <v>-0.13675213675213677</v>
      </c>
      <c r="H10" s="233">
        <f>IF(ISNUMBER((Datos!M10-Datos!W10)/Datos!W10),(Datos!M10-Datos!W10)/Datos!W10," - ")</f>
        <v>0.25</v>
      </c>
      <c r="I10" s="353">
        <f>IF(ISNUMBER((Tasas!C10-Datos!BE10)/Datos!BE10),(Tasas!C10-Datos!BE10)/Datos!BE10," - ")</f>
        <v>-0.28712434518886132</v>
      </c>
      <c r="J10" s="352">
        <f>IF(ISNUMBER((Tasas!D10-Datos!BF10)/Datos!BF10),(Tasas!D10-Datos!BF10)/Datos!BF10," - ")</f>
        <v>3.2258064516129087E-2</v>
      </c>
      <c r="K10" s="354">
        <f>IF(ISNUMBER((Tasas!E10-Datos!BG10)/Datos!BG10),(Tasas!E10-Datos!BG10)/Datos!BG10," - ")</f>
        <v>-0.21883173496076724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-0.12362637362637363</v>
      </c>
      <c r="I13" s="360">
        <f>IF(ISNUMBER((Tasas!C13-Datos!BE13)/Datos!BE13),(Tasas!C13-Datos!BE13)/Datos!BE13," - ")</f>
        <v>0.48445153864798912</v>
      </c>
      <c r="J13" s="358">
        <f>IF(ISNUMBER((Tasas!D13-Datos!BF13)/Datos!BF13),(Tasas!D13-Datos!BF13)/Datos!BF13," - ")</f>
        <v>-0.4658351960829038</v>
      </c>
      <c r="K13" s="361">
        <f>IF(ISNUMBER((Tasas!E13-Datos!BG13)/Datos!BG13),(Tasas!E13-Datos!BG13)/Datos!BG13," - ")</f>
        <v>0.22251551736450303</v>
      </c>
      <c r="M13" t="e">
        <f>IF(Monitorios="SI",Datos!CE13,0)</f>
        <v>#REF!</v>
      </c>
      <c r="N13" t="e">
        <f>IF(Monitorios="SI",Datos!CF13,0)</f>
        <v>#REF!</v>
      </c>
      <c r="O13" t="e">
        <f>IF(Monitorios="SI",Datos!CG13,0)</f>
        <v>#REF!</v>
      </c>
      <c r="P13" t="e">
        <f>IF(Monitorios="SI",Datos!CH13,0)</f>
        <v>#REF!</v>
      </c>
      <c r="Q13">
        <f>IF(J_V="SI",0,Datos!AG13)</f>
        <v>89</v>
      </c>
      <c r="R13">
        <f>IF(J_V="SI",0,Datos!AH13)</f>
        <v>540</v>
      </c>
      <c r="S13">
        <f>IF(J_V="SI",0,Datos!AI13)</f>
        <v>530</v>
      </c>
      <c r="T13">
        <f>IF(J_V="SI",0,Datos!AJ13)</f>
        <v>81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0.27033898305084747</v>
      </c>
      <c r="E15" s="351">
        <f>IF(ISNUMBER(
   IF(D_I="SI",(Datos!J15-Datos!T15)/Datos!T15,(Datos!J15+Datos!AD15-(Datos!T15+Datos!AL15))/(Datos!T15+Datos!AL15))
     ),IF(D_I="SI",(Datos!J15-Datos!T15)/Datos!T15,(Datos!J15+Datos!AD15-(Datos!T15+Datos!AL15))/(Datos!T15+Datos!AL15))," - ")</f>
        <v>9.9084096586178186E-2</v>
      </c>
      <c r="F15" s="351">
        <f>IF(ISNUMBER(
   IF(D_I="SI",(Datos!K15-Datos!U15)/Datos!U15,(Datos!K15+Datos!AE15-(Datos!U15+Datos!AM15))/(Datos!U15+Datos!AM15))
     ),IF(D_I="SI",(Datos!K15-Datos!U15)/Datos!U15,(Datos!K15+Datos!AE15-(Datos!U15+Datos!AM15))/(Datos!U15+Datos!AM15))," - ")</f>
        <v>0.11383478844862324</v>
      </c>
      <c r="G15" s="352">
        <f>IF(ISNUMBER(
   IF(D_I="SI",(Datos!L15-Datos!V15)/Datos!V15,(Datos!L15+Datos!AF15-(Datos!V15+Datos!AN15))/(Datos!V15+Datos!AN15))
     ),IF(D_I="SI",(Datos!L15-Datos!V15)/Datos!V15,(Datos!L15+Datos!AF15-(Datos!V15+Datos!AN15))/(Datos!V15+Datos!AN15))," - ")</f>
        <v>0.11274182788525684</v>
      </c>
      <c r="H15" s="233">
        <f>IF(ISNUMBER((Datos!M15-Datos!W15)/Datos!W15),(Datos!M15-Datos!W15)/Datos!W15," - ")</f>
        <v>1.8210609659540775E-2</v>
      </c>
      <c r="I15" s="353">
        <f>IF(ISNUMBER((Tasas!C15-Datos!BE15)/Datos!BE15),(Tasas!C15-Datos!BE15)/Datos!BE15," - ")</f>
        <v>-9.8125913708325355E-4</v>
      </c>
      <c r="J15" s="352">
        <f>IF(ISNUMBER((Tasas!D15-Datos!BF15)/Datos!BF15),(Tasas!D15-Datos!BF15)/Datos!BF15," - ")</f>
        <v>-8.5851312762703524E-2</v>
      </c>
      <c r="K15" s="354">
        <f>IF(ISNUMBER((Tasas!E15-Datos!BG15)/Datos!BG15),(Tasas!E15-Datos!BG15)/Datos!BG15," - ")</f>
        <v>5.1180275388814159E-4</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0.22857142857142856</v>
      </c>
      <c r="E17" s="351">
        <f>IF(ISNUMBER(
   IF(D_I="SI",(Datos!J17-Datos!T17)/Datos!T17,(Datos!J17+Datos!AD17-(Datos!T17+Datos!AL17))/(Datos!T17+Datos!AL17))
     ),IF(D_I="SI",(Datos!J17-Datos!T17)/Datos!T17,(Datos!J17+Datos!AD17-(Datos!T17+Datos!AL17))/(Datos!T17+Datos!AL17))," - ")</f>
        <v>6.0377358490566038E-2</v>
      </c>
      <c r="F17" s="351">
        <f>IF(ISNUMBER(
   IF(D_I="SI",(Datos!K17-Datos!U17)/Datos!U17,(Datos!K17+Datos!AE17-(Datos!U17+Datos!AM17))/(Datos!U17+Datos!AM17))
     ),IF(D_I="SI",(Datos!K17-Datos!U17)/Datos!U17,(Datos!K17+Datos!AE17-(Datos!U17+Datos!AM17))/(Datos!U17+Datos!AM17))," - ")</f>
        <v>0.18675889328063242</v>
      </c>
      <c r="G17" s="352">
        <f>IF(ISNUMBER(
   IF(D_I="SI",(Datos!L17-Datos!V17)/Datos!V17,(Datos!L17+Datos!AF17-(Datos!V17+Datos!AN17))/(Datos!V17+Datos!AN17))
     ),IF(D_I="SI",(Datos!L17-Datos!V17)/Datos!V17,(Datos!L17+Datos!AF17-(Datos!V17+Datos!AN17))/(Datos!V17+Datos!AN17))," - ")</f>
        <v>-0.23588039867109634</v>
      </c>
      <c r="H17" s="233">
        <f>IF(ISNUMBER((Datos!M17-Datos!W17)/Datos!W17),(Datos!M17-Datos!W17)/Datos!W17," - ")</f>
        <v>2.197802197802198E-2</v>
      </c>
      <c r="I17" s="353">
        <f>IF(ISNUMBER((Tasas!C17-Datos!BE17)/Datos!BE17),(Tasas!C17-Datos!BE17)/Datos!BE17," - ")</f>
        <v>-0.35612902868871738</v>
      </c>
      <c r="J17" s="352">
        <f>IF(ISNUMBER((Tasas!D17-Datos!BF17)/Datos!BF17),(Tasas!D17-Datos!BF17)/Datos!BF17," - ")</f>
        <v>-0.13884949355390647</v>
      </c>
      <c r="K17" s="354">
        <f>IF(ISNUMBER((Tasas!E17-Datos!BG17)/Datos!BG17),(Tasas!E17-Datos!BG17)/Datos!BG17," - ")</f>
        <v>-7.9885535999693738E-2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0.26315789473684209</v>
      </c>
      <c r="E18" s="357">
        <f>IF(ISNUMBER(
   IF(D_I="SI",(Datos!J18-Datos!T18)/Datos!T18,(Datos!J18+Datos!AD18-(Datos!T18+Datos!AL18))/(Datos!T18+Datos!AL18))
     ),IF(D_I="SI",(Datos!J18-Datos!T18)/Datos!T18,(Datos!J18+Datos!AD18-(Datos!T18+Datos!AL18))/(Datos!T18+Datos!AL18))," - ")</f>
        <v>9.594491201224177E-2</v>
      </c>
      <c r="F18" s="357">
        <f>IF(ISNUMBER(
   IF(D_I="SI",(Datos!K18-Datos!U18)/Datos!U18,(Datos!K18+Datos!AE18-(Datos!U18+Datos!AM18))/(Datos!U18+Datos!AM18))
     ),IF(D_I="SI",(Datos!K18-Datos!U18)/Datos!U18,(Datos!K18+Datos!AE18-(Datos!U18+Datos!AM18))/(Datos!U18+Datos!AM18))," - ")</f>
        <v>0.11954503249767874</v>
      </c>
      <c r="G18" s="358">
        <f>IF(ISNUMBER(
   IF(D_I="SI",(Datos!L18-Datos!V18)/Datos!V18,(Datos!L18+Datos!AF18-(Datos!V18+Datos!AN18))/(Datos!V18+Datos!AN18))
     ),IF(D_I="SI",(Datos!L18-Datos!V18)/Datos!V18,(Datos!L18+Datos!AF18-(Datos!V18+Datos!AN18))/(Datos!V18+Datos!AN18))," - ")</f>
        <v>5.4444444444444441E-2</v>
      </c>
      <c r="H18" s="359">
        <f>IF(ISNUMBER((Datos!M18-Datos!W18)/Datos!W18),(Datos!M18-Datos!W18)/Datos!W18," - ")</f>
        <v>1.8463810930576072E-2</v>
      </c>
      <c r="I18" s="360">
        <f>IF(ISNUMBER((Tasas!C18-Datos!BE18)/Datos!BE18),(Tasas!C18-Datos!BE18)/Datos!BE18," - ")</f>
        <v>-5.814914645103321E-2</v>
      </c>
      <c r="J18" s="358">
        <f>IF(ISNUMBER((Tasas!D18-Datos!BF18)/Datos!BF18),(Tasas!D18-Datos!BF18)/Datos!BF18," - ")</f>
        <v>-9.0287767470677571E-2</v>
      </c>
      <c r="K18" s="361">
        <f>IF(ISNUMBER((Tasas!E18-Datos!BG18)/Datos!BG18),(Tasas!E18-Datos!BG18)/Datos!BG18," - ")</f>
        <v>-6.3967520240664679E-3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0.18000627746390457</v>
      </c>
      <c r="E19" s="366">
        <f>IF(ISNUMBER(
   IF(J_V="SI",(Datos!J19-Datos!T19)/Datos!T19,(Datos!J19+Datos!Z19-(Datos!T19+Datos!AH19))/(Datos!T19+Datos!AH19))
     ),IF(J_V="SI",(Datos!J19-Datos!T19)/Datos!T19,(Datos!J19+Datos!Z19-(Datos!T19+Datos!AH19))/(Datos!T19+Datos!AH19))," - ")</f>
        <v>7.3308270676691725E-2</v>
      </c>
      <c r="F19" s="366">
        <f>IF(ISNUMBER(
   IF(J_V="SI",(Datos!K19-Datos!U19)/Datos!U19,(Datos!K19+Datos!AA19-(Datos!U19+Datos!AI19))/(Datos!U19+Datos!AI19))
     ),IF(J_V="SI",(Datos!K19-Datos!U19)/Datos!U19,(Datos!K19+Datos!AA19-(Datos!U19+Datos!AI19))/(Datos!U19+Datos!AI19))," - ")</f>
        <v>2.7994146249350895E-2</v>
      </c>
      <c r="G19" s="367">
        <f>IF(ISNUMBER(
   IF(J_V="SI",(Datos!L19-Datos!V19)/Datos!V19,(Datos!L19+Datos!AB19-(Datos!V19+Datos!AJ19))/(Datos!V19+Datos!AJ19))
     ),IF(J_V="SI",(Datos!L19-Datos!V19)/Datos!V19,(Datos!L19+Datos!AB19-(Datos!V19+Datos!AJ19))/(Datos!V19+Datos!AJ19))," - ")</f>
        <v>0.25136321319324378</v>
      </c>
      <c r="H19" s="368">
        <f>IF(ISNUMBER((Datos!M19-Datos!W19)/Datos!W19),(Datos!M19-Datos!W19)/Datos!W19," - ")</f>
        <v>-6.3011972274732195E-2</v>
      </c>
      <c r="I19" s="365">
        <f>IF(ISNUMBER((Tasas!C19-Datos!BE19)/Datos!BE19),(Tasas!C19-Datos!BE19)/Datos!BE19," - ")</f>
        <v>0.21728632187144034</v>
      </c>
      <c r="J19" s="366">
        <f>IF(ISNUMBER((Tasas!D19-Datos!BF19)/Datos!BF19),(Tasas!D19-Datos!BF19)/Datos!BF19," - ")</f>
        <v>-0.38824009670970422</v>
      </c>
      <c r="K19" s="367">
        <f>IF(ISNUMBER((Tasas!E19-Datos!BG19)/Datos!BG19),(Tasas!E19-Datos!BG19)/Datos!BG19," - ")</f>
        <v>6.754612428810941E-2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4.5797777779743074E-2</v>
      </c>
      <c r="E21" s="281">
        <f t="shared" si="1"/>
        <v>0.14114775268548221</v>
      </c>
      <c r="F21" s="281">
        <f t="shared" si="1"/>
        <v>4.8506322408941642E-2</v>
      </c>
      <c r="G21" s="282">
        <f t="shared" si="1"/>
        <v>0.16275091900867961</v>
      </c>
      <c r="H21" s="288">
        <f t="shared" si="1"/>
        <v>0.13866777629442043</v>
      </c>
      <c r="I21" s="280">
        <f t="shared" si="1"/>
        <v>0.37082149380897084</v>
      </c>
      <c r="J21" s="281">
        <f t="shared" si="1"/>
        <v>0.21383217275002817</v>
      </c>
      <c r="K21" s="282">
        <f t="shared" si="1"/>
        <v>0.17559133398837279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dCTguWlEOGLrhfktnCvye+7+u7i0TChhSnF9OWZTw3T4jhnIAg5e48nt5tYp92ieTeyW+qazry/kQWzE40C7EA==" saltValue="JHHXrfeBPuD+pTLLe2zxg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